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11E38133-C676-4AF7-8378-9C06CD83C613}" xr6:coauthVersionLast="47" xr6:coauthVersionMax="47" xr10:uidLastSave="{00000000-0000-0000-0000-000000000000}"/>
  <bookViews>
    <workbookView xWindow="2240" yWindow="0" windowWidth="22050" windowHeight="15370" xr2:uid="{00000000-000D-0000-FFFF-FFFF00000000}"/>
  </bookViews>
  <sheets>
    <sheet name="Revised Report 22 April 2024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2" i="1" l="1"/>
  <c r="BT15" i="1"/>
  <c r="CB15" i="1"/>
  <c r="CC15" i="1"/>
  <c r="CM15" i="1"/>
  <c r="CP15" i="1"/>
  <c r="DR15" i="1"/>
  <c r="DT15" i="1"/>
  <c r="DU15" i="1" s="1"/>
  <c r="AW44" i="1" l="1"/>
  <c r="AW43" i="1"/>
  <c r="AW42" i="1"/>
  <c r="CN13" i="1" l="1"/>
  <c r="CN15" i="1" s="1"/>
  <c r="CN43" i="1"/>
  <c r="CP43" i="1" s="1"/>
  <c r="CQ43" i="1" s="1"/>
  <c r="CE54" i="1"/>
  <c r="DA8" i="1"/>
  <c r="DA9" i="1"/>
  <c r="DA10" i="1"/>
  <c r="DA7" i="1"/>
  <c r="CP30" i="1"/>
  <c r="CQ15" i="1" s="1"/>
  <c r="CN30" i="1"/>
  <c r="CM30" i="1"/>
  <c r="CQ30" i="1" l="1"/>
  <c r="CM31" i="1"/>
  <c r="CO30" i="1"/>
  <c r="CP31" i="1"/>
  <c r="CN31" i="1"/>
  <c r="CO31" i="1" l="1"/>
  <c r="CQ31" i="1"/>
  <c r="CC30" i="1"/>
  <c r="BS55" i="1"/>
  <c r="BR55" i="1"/>
  <c r="CB30" i="1"/>
  <c r="BU42" i="1"/>
  <c r="CE56" i="1"/>
  <c r="CC56" i="1"/>
  <c r="CB56" i="1"/>
  <c r="CC45" i="1"/>
  <c r="CB45" i="1"/>
  <c r="BJ52" i="1"/>
  <c r="BL52" i="1"/>
  <c r="BM52" i="1"/>
  <c r="BI52" i="1"/>
  <c r="BM22" i="1"/>
  <c r="BL22" i="1"/>
  <c r="BJ22" i="1"/>
  <c r="BI22" i="1"/>
  <c r="EC7" i="1"/>
  <c r="ED7" i="1" s="1"/>
  <c r="EC8" i="1"/>
  <c r="ED8" i="1" s="1"/>
  <c r="EC9" i="1"/>
  <c r="ED9" i="1" s="1"/>
  <c r="EC10" i="1"/>
  <c r="ED10" i="1" s="1"/>
  <c r="EC11" i="1"/>
  <c r="ED11" i="1" s="1"/>
  <c r="EC6" i="1"/>
  <c r="ED6" i="1" s="1"/>
  <c r="EC20" i="1"/>
  <c r="ED20" i="1" s="1"/>
  <c r="EC19" i="1"/>
  <c r="ED19" i="1" s="1"/>
  <c r="CC57" i="1" l="1"/>
  <c r="BK22" i="1"/>
  <c r="BK52" i="1"/>
  <c r="EC12" i="1"/>
  <c r="EB12" i="1" l="1"/>
  <c r="ED12" i="1"/>
  <c r="AU29" i="1"/>
  <c r="AV29" i="1" s="1"/>
  <c r="AS41" i="1" s="1"/>
  <c r="AR31" i="1"/>
  <c r="AS31" i="1" s="1"/>
  <c r="AR32" i="1"/>
  <c r="AS32" i="1" s="1"/>
  <c r="AR30" i="1"/>
  <c r="AS30" i="1" s="1"/>
  <c r="AR29" i="1"/>
  <c r="CE25" i="1"/>
  <c r="CE22" i="1"/>
  <c r="CE27" i="1"/>
  <c r="CE16" i="1"/>
  <c r="CE28" i="1"/>
  <c r="CE21" i="1"/>
  <c r="CE17" i="1"/>
  <c r="CE19" i="1"/>
  <c r="CE20" i="1"/>
  <c r="CE23" i="1"/>
  <c r="CE18" i="1"/>
  <c r="CE26" i="1"/>
  <c r="CE24" i="1"/>
  <c r="CE29" i="1"/>
  <c r="CE14" i="1"/>
  <c r="CE9" i="1"/>
  <c r="CE12" i="1"/>
  <c r="CE7" i="1"/>
  <c r="CE8" i="1"/>
  <c r="CE10" i="1"/>
  <c r="CE11" i="1"/>
  <c r="CE13" i="1"/>
  <c r="CE43" i="1"/>
  <c r="CE39" i="1"/>
  <c r="CE38" i="1"/>
  <c r="CE42" i="1"/>
  <c r="CE41" i="1"/>
  <c r="CE40" i="1"/>
  <c r="CE44" i="1"/>
  <c r="CE15" i="1" l="1"/>
  <c r="CD15" i="1"/>
  <c r="CE45" i="1"/>
  <c r="AU31" i="1"/>
  <c r="AV31" i="1" s="1"/>
  <c r="AS43" i="1" s="1"/>
  <c r="AV43" i="1" s="1"/>
  <c r="AU32" i="1"/>
  <c r="AV32" i="1" s="1"/>
  <c r="AS44" i="1" s="1"/>
  <c r="AV44" i="1" s="1"/>
  <c r="AU30" i="1"/>
  <c r="AV30" i="1" s="1"/>
  <c r="AS42" i="1" s="1"/>
  <c r="CE30" i="1"/>
  <c r="BU53" i="1"/>
  <c r="BU51" i="1"/>
  <c r="BU50" i="1"/>
  <c r="BU49" i="1"/>
  <c r="BU48" i="1"/>
  <c r="BU47" i="1"/>
  <c r="BU46" i="1"/>
  <c r="BU45" i="1"/>
  <c r="BU44" i="1"/>
  <c r="BU43" i="1"/>
  <c r="BU41" i="1"/>
  <c r="BS40" i="1"/>
  <c r="BR40" i="1"/>
  <c r="BU39" i="1"/>
  <c r="BU38" i="1"/>
  <c r="BU37" i="1"/>
  <c r="BU36" i="1"/>
  <c r="BU35" i="1"/>
  <c r="BU34" i="1"/>
  <c r="CF15" i="1" l="1"/>
  <c r="AU44" i="1"/>
  <c r="AU42" i="1"/>
  <c r="AU43" i="1"/>
  <c r="BR56" i="1"/>
  <c r="BS56" i="1"/>
  <c r="BU55" i="1"/>
  <c r="BU40" i="1"/>
  <c r="BT40" i="1" s="1"/>
  <c r="BV40" i="1" l="1"/>
  <c r="BV55" i="1"/>
  <c r="BT55" i="1"/>
  <c r="BU56" i="1"/>
  <c r="BT56" i="1" s="1"/>
  <c r="CC31" i="1"/>
  <c r="CE31" i="1"/>
  <c r="CB31" i="1"/>
  <c r="BU27" i="1"/>
  <c r="BV56" i="1" l="1"/>
  <c r="CD31" i="1"/>
  <c r="DT54" i="1"/>
  <c r="DU54" i="1" s="1"/>
  <c r="DT55" i="1"/>
  <c r="DU55" i="1" s="1"/>
  <c r="DT56" i="1"/>
  <c r="DU56" i="1" s="1"/>
  <c r="DT46" i="1"/>
  <c r="DU46" i="1" s="1"/>
  <c r="DT49" i="1"/>
  <c r="DU49" i="1" s="1"/>
  <c r="DT51" i="1"/>
  <c r="DU51" i="1" s="1"/>
  <c r="DT53" i="1"/>
  <c r="DU53" i="1" s="1"/>
  <c r="DR50" i="1"/>
  <c r="DT50" i="1" s="1"/>
  <c r="DU50" i="1" s="1"/>
  <c r="DQ55" i="1" l="1"/>
  <c r="DQ48" i="1"/>
  <c r="DQ52" i="1" s="1"/>
  <c r="DQ47" i="1"/>
  <c r="DR45" i="1"/>
  <c r="DR48" i="1" s="1"/>
  <c r="DT48" i="1" s="1"/>
  <c r="DU48" i="1" s="1"/>
  <c r="DR37" i="1"/>
  <c r="DT37" i="1" s="1"/>
  <c r="DU37" i="1" s="1"/>
  <c r="DQ37" i="1"/>
  <c r="DR36" i="1"/>
  <c r="DT36" i="1" s="1"/>
  <c r="DU36" i="1" s="1"/>
  <c r="DQ36" i="1"/>
  <c r="DR35" i="1"/>
  <c r="DT35" i="1" s="1"/>
  <c r="DU35" i="1" s="1"/>
  <c r="DQ35" i="1"/>
  <c r="DR34" i="1"/>
  <c r="DQ34" i="1"/>
  <c r="DR33" i="1"/>
  <c r="DT33" i="1" s="1"/>
  <c r="DU33" i="1" s="1"/>
  <c r="DQ33" i="1"/>
  <c r="DT32" i="1"/>
  <c r="DU32" i="1" s="1"/>
  <c r="DT31" i="1"/>
  <c r="DU31" i="1" s="1"/>
  <c r="DT30" i="1"/>
  <c r="DU30" i="1" s="1"/>
  <c r="DT29" i="1"/>
  <c r="DU29" i="1" s="1"/>
  <c r="DR28" i="1"/>
  <c r="DT28" i="1" s="1"/>
  <c r="DU28" i="1" s="1"/>
  <c r="DQ28" i="1"/>
  <c r="DT27" i="1"/>
  <c r="DU27" i="1" s="1"/>
  <c r="DT26" i="1"/>
  <c r="DU26" i="1" s="1"/>
  <c r="DT25" i="1"/>
  <c r="DU25" i="1" s="1"/>
  <c r="DT24" i="1"/>
  <c r="DU24" i="1" s="1"/>
  <c r="DQ17" i="1"/>
  <c r="DR16" i="1"/>
  <c r="DT16" i="1" s="1"/>
  <c r="DU16" i="1" s="1"/>
  <c r="DR14" i="1"/>
  <c r="DT14" i="1" s="1"/>
  <c r="DU14" i="1" s="1"/>
  <c r="DR13" i="1"/>
  <c r="DT13" i="1" s="1"/>
  <c r="DU13" i="1" s="1"/>
  <c r="DT12" i="1"/>
  <c r="DU12" i="1" s="1"/>
  <c r="DT11" i="1"/>
  <c r="DU11" i="1" s="1"/>
  <c r="DT10" i="1"/>
  <c r="DU10" i="1" s="1"/>
  <c r="DR9" i="1"/>
  <c r="DT9" i="1" s="1"/>
  <c r="DU9" i="1" s="1"/>
  <c r="DT8" i="1"/>
  <c r="DU8" i="1" s="1"/>
  <c r="DT7" i="1"/>
  <c r="DU7" i="1" s="1"/>
  <c r="DT6" i="1"/>
  <c r="DU6" i="1" s="1"/>
  <c r="DR17" i="1" l="1"/>
  <c r="DT17" i="1" s="1"/>
  <c r="DU17" i="1" s="1"/>
  <c r="DQ53" i="1"/>
  <c r="DQ57" i="1" s="1"/>
  <c r="DR38" i="1"/>
  <c r="DT38" i="1" s="1"/>
  <c r="DU38" i="1" s="1"/>
  <c r="DQ38" i="1"/>
  <c r="DT34" i="1"/>
  <c r="DU34" i="1" s="1"/>
  <c r="DR47" i="1"/>
  <c r="DT47" i="1" s="1"/>
  <c r="DU47" i="1" s="1"/>
  <c r="DT45" i="1"/>
  <c r="DU45" i="1" s="1"/>
  <c r="DR52" i="1" l="1"/>
  <c r="DT52" i="1" s="1"/>
  <c r="DU52" i="1" s="1"/>
  <c r="DR57" i="1" l="1"/>
  <c r="DT57" i="1" s="1"/>
  <c r="DU57" i="1" l="1"/>
  <c r="CZ11" i="1" l="1"/>
  <c r="DA11" i="1" s="1"/>
  <c r="CX11" i="1"/>
  <c r="CW11" i="1"/>
  <c r="CY9" i="1"/>
  <c r="CY8" i="1"/>
  <c r="CY7" i="1"/>
  <c r="CN53" i="1"/>
  <c r="CM53" i="1"/>
  <c r="CP52" i="1"/>
  <c r="CQ52" i="1" s="1"/>
  <c r="CP51" i="1"/>
  <c r="CQ51" i="1" s="1"/>
  <c r="CP50" i="1"/>
  <c r="CQ50" i="1" s="1"/>
  <c r="CP49" i="1"/>
  <c r="CQ49" i="1" s="1"/>
  <c r="CP48" i="1"/>
  <c r="CQ48" i="1" s="1"/>
  <c r="CP47" i="1"/>
  <c r="CQ47" i="1" s="1"/>
  <c r="CP46" i="1"/>
  <c r="CQ46" i="1" s="1"/>
  <c r="CP45" i="1"/>
  <c r="CQ45" i="1" s="1"/>
  <c r="CP44" i="1"/>
  <c r="CQ44" i="1" s="1"/>
  <c r="CP42" i="1"/>
  <c r="CQ42" i="1" s="1"/>
  <c r="CP41" i="1"/>
  <c r="CQ41" i="1" s="1"/>
  <c r="CP40" i="1"/>
  <c r="CQ40" i="1" s="1"/>
  <c r="CP39" i="1"/>
  <c r="CQ39" i="1" s="1"/>
  <c r="CD56" i="1"/>
  <c r="CB57" i="1"/>
  <c r="CF30" i="1"/>
  <c r="CD30" i="1"/>
  <c r="BV26" i="1"/>
  <c r="BS26" i="1"/>
  <c r="BT26" i="1" s="1"/>
  <c r="BR26" i="1"/>
  <c r="BT25" i="1"/>
  <c r="BT24" i="1"/>
  <c r="BT23" i="1"/>
  <c r="BT22" i="1"/>
  <c r="BT21" i="1"/>
  <c r="BT20" i="1"/>
  <c r="BT19" i="1"/>
  <c r="BT18" i="1"/>
  <c r="BT17" i="1"/>
  <c r="BT16" i="1"/>
  <c r="BT14" i="1"/>
  <c r="BT13" i="1"/>
  <c r="BV12" i="1"/>
  <c r="BS12" i="1"/>
  <c r="BR12" i="1"/>
  <c r="BR27" i="1" s="1"/>
  <c r="BV27" i="1" l="1"/>
  <c r="CD45" i="1"/>
  <c r="CE57" i="1"/>
  <c r="CF31" i="1"/>
  <c r="BT12" i="1"/>
  <c r="BS27" i="1"/>
  <c r="BT27" i="1" s="1"/>
  <c r="CY11" i="1"/>
  <c r="CP53" i="1"/>
  <c r="CQ53" i="1" s="1"/>
  <c r="CF45" i="1"/>
  <c r="CF56" i="1"/>
  <c r="CO53" i="1" l="1"/>
  <c r="CD57" i="1"/>
  <c r="CF57" i="1"/>
</calcChain>
</file>

<file path=xl/sharedStrings.xml><?xml version="1.0" encoding="utf-8"?>
<sst xmlns="http://schemas.openxmlformats.org/spreadsheetml/2006/main" count="726" uniqueCount="304">
  <si>
    <t>3. The installed capacities to produce this report have been taken from two Government publications:</t>
  </si>
  <si>
    <t xml:space="preserve">4. Although the distinction between national and local is based on installed capacity, an installation's </t>
  </si>
  <si>
    <t>performance is based on energy generation. The load factors required to calculate energy generation</t>
  </si>
  <si>
    <t>have also been taken from two Government sources: The Digest of UK Energy Statistics (DUKES),</t>
  </si>
  <si>
    <t xml:space="preserve">Significance in 2021. Just one installation was commissioned during the year. This consisted of </t>
  </si>
  <si>
    <t>are under construction or awaiting construction are added to the operational installations in Table 5.</t>
  </si>
  <si>
    <t>there is a modest increase to 65%.</t>
  </si>
  <si>
    <t>REFERENCES</t>
  </si>
  <si>
    <t>3. Overarching National Policy Statement for Energy (EN-1), published DECC, July 2011.</t>
  </si>
  <si>
    <r>
      <t>UK Renewable Electricity Installations</t>
    </r>
    <r>
      <rPr>
        <b/>
        <sz val="9"/>
        <color rgb="FFFF0000"/>
        <rFont val="Arial"/>
        <family val="2"/>
      </rPr>
      <t xml:space="preserve"> </t>
    </r>
  </si>
  <si>
    <t>Date of Assessment</t>
  </si>
  <si>
    <t>Table Number</t>
  </si>
  <si>
    <t>Number</t>
  </si>
  <si>
    <t>Annual Generation of National Significance</t>
  </si>
  <si>
    <t>TWh</t>
  </si>
  <si>
    <t>% of Total</t>
  </si>
  <si>
    <t>Operational only</t>
  </si>
  <si>
    <t>Operational, Under Construction and Awaiting Construction</t>
  </si>
  <si>
    <t>31 Dec 2020</t>
  </si>
  <si>
    <t>31 Dec 2021</t>
  </si>
  <si>
    <t>Submitted for Approval only</t>
  </si>
  <si>
    <t>Operational, Under Construction, Awaiting Construction and Submitted for Approval</t>
  </si>
  <si>
    <t>30 Jun 2011</t>
  </si>
  <si>
    <t>Technology</t>
  </si>
  <si>
    <t>Number of Installations</t>
  </si>
  <si>
    <t>Capacity MW</t>
  </si>
  <si>
    <t>Load Factor</t>
  </si>
  <si>
    <t>Generation</t>
  </si>
  <si>
    <t>Annual TWh</t>
  </si>
  <si>
    <t>Split %</t>
  </si>
  <si>
    <t>Wind Onshore</t>
  </si>
  <si>
    <t>Wind Offshore</t>
  </si>
  <si>
    <t>Hydro Large</t>
  </si>
  <si>
    <t>Waste Incineration</t>
  </si>
  <si>
    <t>Plant Biomass</t>
  </si>
  <si>
    <t>NATIONAL SIGNIFICANCE</t>
  </si>
  <si>
    <t>Landfill Gas</t>
  </si>
  <si>
    <t>Hydro Small</t>
  </si>
  <si>
    <t>Anaerobic Digestion</t>
  </si>
  <si>
    <t>Solar Photovoltaics</t>
  </si>
  <si>
    <t>Sewage Sludge Digestion</t>
  </si>
  <si>
    <t>Shoreline Wave</t>
  </si>
  <si>
    <t>LOCAL SIGNIFICANCE</t>
  </si>
  <si>
    <t>UK Renewable Electricity Installations</t>
  </si>
  <si>
    <t>Advanced Conversion</t>
  </si>
  <si>
    <t xml:space="preserve">Hydro Large </t>
  </si>
  <si>
    <t>Hot Dry Rocks</t>
  </si>
  <si>
    <t>Tidal</t>
  </si>
  <si>
    <t>NATIONAL SIGNFICANCE</t>
  </si>
  <si>
    <t>Sewage Digestion</t>
  </si>
  <si>
    <t>LOCAL SIGNFICANCE</t>
  </si>
  <si>
    <t xml:space="preserve">Tidal </t>
  </si>
  <si>
    <t>TOTAL</t>
  </si>
  <si>
    <t>at 31 December 2021</t>
  </si>
  <si>
    <t>Operational</t>
  </si>
  <si>
    <t>Under Construction</t>
  </si>
  <si>
    <t>Awaiting Construction</t>
  </si>
  <si>
    <t>Awaiting  Approval</t>
  </si>
  <si>
    <t>Table11a  LOAD FACTORS FOR INSTALLATIONS WITH A CAPACITY OF 0.2 MW or ABOVE</t>
  </si>
  <si>
    <t>Table11b LOAD FACTORS FOR INSTALLATIONS WITH A CAPACITY BELOW 0.2 MW</t>
  </si>
  <si>
    <t>Advanced  Conversion*</t>
  </si>
  <si>
    <t>Plant Biomass*</t>
  </si>
  <si>
    <t>Hot Dry Rocks**</t>
  </si>
  <si>
    <t>Onshore Wind</t>
  </si>
  <si>
    <t>*Micro CHP</t>
  </si>
  <si>
    <t xml:space="preserve">Landfill gas </t>
  </si>
  <si>
    <t>SOURCE</t>
  </si>
  <si>
    <t xml:space="preserve">Mean load factors for the 5-years 2016/17 to 2020/21, </t>
  </si>
  <si>
    <t>Research &amp; analysis, Annual Feed-in Tariff</t>
  </si>
  <si>
    <t>Tidal and Wave**</t>
  </si>
  <si>
    <t>Load Factors, published BEIS, 23 December 2021.</t>
  </si>
  <si>
    <t>SOURCES</t>
  </si>
  <si>
    <t xml:space="preserve">*Mark Harradine, Technical Director, Syngas Products, Poole. </t>
  </si>
  <si>
    <t>**Estimate from literature.</t>
  </si>
  <si>
    <t xml:space="preserve">Remainder: Mean load factors for the 5-years 2016 to 2020, </t>
  </si>
  <si>
    <t>for schemes operating on an unchanged configuration basis,</t>
  </si>
  <si>
    <t xml:space="preserve">Digest of UK Energy Statistics (DUKES), Table 6.5, </t>
  </si>
  <si>
    <t>published BEIS 29 July 2021.</t>
  </si>
  <si>
    <t>UK Renewable Electricity Installations of All Development Statuses</t>
  </si>
  <si>
    <t>Country</t>
  </si>
  <si>
    <t xml:space="preserve">Advanced Conversion </t>
  </si>
  <si>
    <t>England</t>
  </si>
  <si>
    <t>Scotland</t>
  </si>
  <si>
    <t>Wales</t>
  </si>
  <si>
    <t>Northern Ireland</t>
  </si>
  <si>
    <t>Wave</t>
  </si>
  <si>
    <t>Offshore Wind</t>
  </si>
  <si>
    <t>NOTE</t>
  </si>
  <si>
    <r>
      <t xml:space="preserve">Table 13  LOCATION OF OFFSHORE WIND </t>
    </r>
    <r>
      <rPr>
        <b/>
        <sz val="8"/>
        <color rgb="FFFF0000"/>
        <rFont val="Arial"/>
        <family val="2"/>
      </rPr>
      <t>at 31 December 2021</t>
    </r>
  </si>
  <si>
    <t>Significance</t>
  </si>
  <si>
    <t>NATIONAL</t>
  </si>
  <si>
    <t>UK</t>
  </si>
  <si>
    <t>LOCAL</t>
  </si>
  <si>
    <t>NATIONAL &amp; LOCAL</t>
  </si>
  <si>
    <r>
      <t xml:space="preserve">Table 14  LOCATION OF ONSHORE WIND </t>
    </r>
    <r>
      <rPr>
        <b/>
        <sz val="8"/>
        <color rgb="FFFF0000"/>
        <rFont val="Arial"/>
        <family val="2"/>
      </rPr>
      <t>at 31 December 2021</t>
    </r>
  </si>
  <si>
    <t>NI</t>
  </si>
  <si>
    <r>
      <t xml:space="preserve">Table 15  LOCATION OF SOLAR PHOTOVOLTAICS </t>
    </r>
    <r>
      <rPr>
        <b/>
        <sz val="8"/>
        <color rgb="FFFF0000"/>
        <rFont val="Arial"/>
        <family val="2"/>
      </rPr>
      <t>at 31 December 2021</t>
    </r>
  </si>
  <si>
    <t>1. In its Final Draft for Endorsement of the Bournemouth, Dorset &amp; Poole Renewable Energy Strategy</t>
  </si>
  <si>
    <t>to 2020, published March 2012, the Dorset Energy Partnership (DEP) announced its expectation that</t>
  </si>
  <si>
    <t>approximately half its 2020 renewable energy target would be delivered via resources considered by</t>
  </si>
  <si>
    <r>
      <t>Government to be of national significance</t>
    </r>
    <r>
      <rPr>
        <vertAlign val="superscript"/>
        <sz val="10"/>
        <color theme="1"/>
        <rFont val="Arial"/>
        <family val="2"/>
      </rPr>
      <t>1,2,3</t>
    </r>
    <r>
      <rPr>
        <sz val="10"/>
        <color theme="1"/>
        <rFont val="Arial"/>
        <family val="2"/>
      </rPr>
      <t xml:space="preserve">. This expectation was deduced from the UK Renewable </t>
    </r>
  </si>
  <si>
    <t>Energy Roadmap, para. 2.7, p.14, published BEIS, 12 July 2011.</t>
  </si>
  <si>
    <t>% Split NS/LS</t>
  </si>
  <si>
    <t xml:space="preserve">1. Only installations with an installed capacity of 0.2 MW or above are included in this analysis. </t>
  </si>
  <si>
    <t>2. For each technology, countries are listed in order of decreasing contribution of annual</t>
  </si>
  <si>
    <t>generation of renewable electricity.</t>
  </si>
  <si>
    <t>of all renewable electricity generation.</t>
  </si>
  <si>
    <t>2. Solar Photovoltaics's contribution is limited to 8.9%.</t>
  </si>
  <si>
    <t>for Onshore Wind and Hydro (Scotland) and Tidal (Wales).</t>
  </si>
  <si>
    <t xml:space="preserve">3. The major contributor for each technology is highlighted in yellow. England leads in all except  </t>
  </si>
  <si>
    <t>Administrative Authority</t>
  </si>
  <si>
    <t xml:space="preserve">Contribution from Installations of National Significance </t>
  </si>
  <si>
    <t>Balance Required to Meet Demand</t>
  </si>
  <si>
    <t>% of UK</t>
  </si>
  <si>
    <t>UK (379 LAs)</t>
  </si>
  <si>
    <t xml:space="preserve">England (314 LAs) </t>
  </si>
  <si>
    <t>BCP</t>
  </si>
  <si>
    <t>Dorset</t>
  </si>
  <si>
    <t>NATIONAL + LOCAL</t>
  </si>
  <si>
    <t xml:space="preserve">NOTES FOR TABLES 12-15 </t>
  </si>
  <si>
    <t>https://www.gov.uk/government/statistics/total-final-energy-consumption-at-regional-and-local-authority-level-2005-to-2019</t>
  </si>
  <si>
    <t>unknown**</t>
  </si>
  <si>
    <t>*Dorset and BCP have no installations</t>
  </si>
  <si>
    <t>Operational Installations of Local Significance at 31 Dec 2021*</t>
  </si>
  <si>
    <t>% of Unused Buildings Required</t>
  </si>
  <si>
    <t>Average Capacity per Roof</t>
  </si>
  <si>
    <t>kW</t>
  </si>
  <si>
    <t>Solar PV Available from Unused Buildings</t>
  </si>
  <si>
    <t>Number of Buildings Required</t>
  </si>
  <si>
    <t>Photovoltaic</t>
  </si>
  <si>
    <t>1. All installations shown for Dorset were commissioned in the County.</t>
  </si>
  <si>
    <t>2. The Load Factor shown for Solar Photovoltaics is appropriate for Dorset</t>
  </si>
  <si>
    <t>**Building numbers for Scotland, Wales and</t>
  </si>
  <si>
    <t>Northern Ireland have not been assessed.</t>
  </si>
  <si>
    <t>NATIONAL +  LOCAL</t>
  </si>
  <si>
    <t>Table 6  OPERATIONAL, UNDER CONSTRUCTION &amp; AWAITING CONSTRUCTION</t>
  </si>
  <si>
    <r>
      <rPr>
        <b/>
        <sz val="8"/>
        <rFont val="Arial"/>
        <family val="2"/>
      </rPr>
      <t>of ALL DEVELOPMENTS</t>
    </r>
    <r>
      <rPr>
        <b/>
        <sz val="8"/>
        <color rgb="FFFF0000"/>
        <rFont val="Arial"/>
        <family val="2"/>
      </rPr>
      <t xml:space="preserve"> at 31 December 2021</t>
    </r>
  </si>
  <si>
    <t>Table 12  UK RENEWABLE ELECTRICITY INSTALLATIONS</t>
  </si>
  <si>
    <t>Table 10  DEVELOPMENT STATUS OF ALL INSTALLATIONS in Tables 8 &amp; 9</t>
  </si>
  <si>
    <t xml:space="preserve">1. Wind Offshore, Wind Onshore and Plant Biomass are responsible for 80.4% </t>
  </si>
  <si>
    <t>2019 Electricity Consumption (most recent available)</t>
  </si>
  <si>
    <t>David Peacock BSc(Eng) ARSM MAIME DIC PhD</t>
  </si>
  <si>
    <t>Email peacock@surfree.co.uk</t>
  </si>
  <si>
    <t>Dorset CPRE Charity Number 211974</t>
  </si>
  <si>
    <t>info@dorset-cpre.org.uk</t>
  </si>
  <si>
    <r>
      <rPr>
        <u/>
        <sz val="9"/>
        <color rgb="FF0070C0"/>
        <rFont val="Arial"/>
        <family val="2"/>
      </rPr>
      <t>www.dorset-cpre.org.uk</t>
    </r>
    <r>
      <rPr>
        <u/>
        <sz val="9"/>
        <rFont val="Arial"/>
        <family val="2"/>
      </rPr>
      <t xml:space="preserve"> </t>
    </r>
    <r>
      <rPr>
        <sz val="9"/>
        <rFont val="Arial"/>
        <family val="2"/>
      </rPr>
      <t>Tel: 0333 577 0360</t>
    </r>
  </si>
  <si>
    <t>The Campaign to Protect Rural England exists to promote the beauty, tranquillity and</t>
  </si>
  <si>
    <t>diversity of rural England by encouraging the sustainable use of land and</t>
  </si>
  <si>
    <t>other natural resources in town and country.</t>
  </si>
  <si>
    <t>Installations of National Significance &amp; the Setting of Local Renewable Electricity Targets</t>
  </si>
  <si>
    <t>THE SETTING OF LOCAL RENEWABLE ELECTRICITY TARGETS</t>
  </si>
  <si>
    <t>INSTALLATIONS OF NATIONAL SIGNIFICANCE AND</t>
  </si>
  <si>
    <r>
      <t>2050 Higher Demand</t>
    </r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</t>
    </r>
  </si>
  <si>
    <t>https://www.gov.uk/government/publications/modelling-2050-electricity-system-analysis</t>
  </si>
  <si>
    <t>6.3 Table 4 indicates that the actual contribution from operational installations at 31 December 2020</t>
  </si>
  <si>
    <t xml:space="preserve">6.4 Table 5 shows a minimal 0.1% increase to 54.2% in generation for installations of National </t>
  </si>
  <si>
    <t>6.7 Table 8 indicates that if installations Awaiting Approval are added to the installations in Table 6</t>
  </si>
  <si>
    <t>deployment in England is likely to continue.</t>
  </si>
  <si>
    <t>The 7 April 2022 strategy announcement is clear that the long-standing suppression of onshore wind</t>
  </si>
  <si>
    <t xml:space="preserve">potential generation from onshore wind. This contrasts with England's 11.7% contribution to the total. </t>
  </si>
  <si>
    <t>8.2.1 It can be noted (Table 14) that Scotland is responsible for 73.8% of the UK operational and</t>
  </si>
  <si>
    <t xml:space="preserve">BCP. In preparing the table the following assumptions have been made and information provided: </t>
  </si>
  <si>
    <t>Industrial Strategy for its model of 2050.</t>
  </si>
  <si>
    <t xml:space="preserve">11.2  70% of the UK generation is from Installations of National Significance and 30% is from </t>
  </si>
  <si>
    <t>Installations of Local Significance situated in the 379 Local Authorities that constitute the UK.</t>
  </si>
  <si>
    <t>11.3 The UK 2050 target has been suggested by the Government. The 2050 targets for England,</t>
  </si>
  <si>
    <r>
      <t>Dorset and BCP are based on 2019 electricity consumption</t>
    </r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. These are then expressed as a </t>
    </r>
  </si>
  <si>
    <t xml:space="preserve">percentage of the UK consumption in 2019. These percentages are then applied to the UK 2050 </t>
  </si>
  <si>
    <t>11.4  Table 1b also provides information on current renewable energy generation from installations of</t>
  </si>
  <si>
    <t>Local Significance, the balance of generation required to meet the 2050 target and the % of unused</t>
  </si>
  <si>
    <t xml:space="preserve">5. Modelling 2050: Electricity System Analysis, published by the BEIS Dynamic Dispatch Team, 4 Dec 2020. </t>
  </si>
  <si>
    <t>2. National Policy Statement for Renewable Energy Infrastructure (EN-3), published DECC, Jul 2011.</t>
  </si>
  <si>
    <t>4. Sub-national total final energy consumption 2019, published BEIS, 30 Sep 2021.</t>
  </si>
  <si>
    <t xml:space="preserve">Table 9  AS Table 8 WITH DATA FOR NATIONAL AND </t>
  </si>
  <si>
    <t xml:space="preserve">LOCAL INSTALLATIONS COMBINED </t>
  </si>
  <si>
    <t xml:space="preserve">7. The increase in annual generation for operational installations of National Significance from 31.4% </t>
  </si>
  <si>
    <t xml:space="preserve">represents a mean annual increase of 2.17%. If this rate of increase were to be maintained, the </t>
  </si>
  <si>
    <t>the estimate in Table 8 could be reached in about 5 years.</t>
  </si>
  <si>
    <t>7 April 2022, suggest that 65% could be a conservative estimate of what might be achieved by 2030:</t>
  </si>
  <si>
    <t>8. Ambitions set out by Government in its recent British Energy Security Strategy, published</t>
  </si>
  <si>
    <t>8.1  It is determined to deploy 50 GW of offshore wind by that date. 29.1 GW of this is either</t>
  </si>
  <si>
    <t>operational or already in the planning pipeline. Offshore wind's historical record (Table 8) indicates</t>
  </si>
  <si>
    <t xml:space="preserve">that 95.4% of the remaining 20.9 GW could generate an annual 73.23 TWh from installations of </t>
  </si>
  <si>
    <t>8.3  It sets out its ambition for the UK to have 24 GW of operational nuclear power by 2050. Assuming</t>
  </si>
  <si>
    <t xml:space="preserve">a load factor of 0.9, this would be sufficient to generate an annual 189.22 TWh or 28% of the BEIS  </t>
  </si>
  <si>
    <t>8.3.2 When added to the previously unidentified contributions to generation of National Significance</t>
  </si>
  <si>
    <r>
      <t xml:space="preserve">from offshore and onshore wind (8.1 </t>
    </r>
    <r>
      <rPr>
        <sz val="9"/>
        <color theme="1"/>
        <rFont val="Arial"/>
        <family val="2"/>
      </rPr>
      <t>&amp;</t>
    </r>
    <r>
      <rPr>
        <sz val="10"/>
        <color theme="1"/>
        <rFont val="Arial"/>
        <family val="2"/>
      </rPr>
      <t xml:space="preserve"> 8.2 above) the 189.22 TWh generation from nuclear raises the</t>
    </r>
  </si>
  <si>
    <t xml:space="preserve">location and installed capacity. If its location is offshore its installed capacity has to be greater than </t>
  </si>
  <si>
    <t>100 MW. If its location is onshore its installed capacity has to be greater than 50 MW. All other</t>
  </si>
  <si>
    <t>that are under construction or awaiting construction are included.</t>
  </si>
  <si>
    <t>6.2 Table 3 shows that the contribution increases to 46% if installations with planning consent</t>
  </si>
  <si>
    <t>twenty-one 145 m high onshore wind turbines with a total capacity of 75.5 MW located in the</t>
  </si>
  <si>
    <t>Scottish Borders. Similarly, only 201 installations of Local Significance were commissioned during</t>
  </si>
  <si>
    <t>the year. This pause in deployment can be attributed to the negative impacts of Covid-19.</t>
  </si>
  <si>
    <t xml:space="preserve">6.6 Table 7 indicates that of 400 installations awaiting planning approval at 31 Dec 2021, 38 (9.5%) </t>
  </si>
  <si>
    <t>are installations of National Significance and are responsible for 69% of total annual generation.</t>
  </si>
  <si>
    <t>down to 0.1 MW and the Feed-in Tariff (FIT) Installation Report which records capacities from 5 MW</t>
  </si>
  <si>
    <t xml:space="preserve">the Renewable Energy Planning Database (REPD) Extract, which records capacities from the highest </t>
  </si>
  <si>
    <t>down to the lowest, 0.02 kW. Only capacities of 0.2 MW and above in the REPD Extract and below</t>
  </si>
  <si>
    <t>duplication.</t>
  </si>
  <si>
    <t xml:space="preserve">Table 6.5, published, BEIS 30 Jul 2020, for the larger installations (Table 11a) and Feed-in Tariff Load </t>
  </si>
  <si>
    <t xml:space="preserve">Factors, Energy Trends, published BEIS, 22 Dec 2020, for the smaller (FIT) installations (Table 11b). </t>
  </si>
  <si>
    <t xml:space="preserve">of the targets chosen by the Dynamic Dispatch Team at the Department for Business, Energy &amp; </t>
  </si>
  <si>
    <t xml:space="preserve">11.1  During 2050 the UK reaches its annual renewable electricity target of 677 TWh, the higher </t>
  </si>
  <si>
    <t>Government target to obtain an unadjusted 2050 target that requires to be reduced by 70% to</t>
  </si>
  <si>
    <t xml:space="preserve">0.2 MW in the FIT report have been utilised. This allows full coverage of the data available and avoids </t>
  </si>
  <si>
    <t>8.2  It refers to the Scottish Government's 28 October 2021 Consultation Paper on Onshore Wind</t>
  </si>
  <si>
    <t xml:space="preserve">Policy. This states its ambition to have up to 20.4 GW of onshore wind installed by 2030. Scotland </t>
  </si>
  <si>
    <t>already has18.86 GW that are either operational or in the planning pipeline. Scotland's onshore wind</t>
  </si>
  <si>
    <t xml:space="preserve">historical record (Table 14) indicates that 63.4% of the balance of 1.54 GW could generate an annual </t>
  </si>
  <si>
    <t>5. The installations recorded in this report are either operational or in the planning pipeline.</t>
  </si>
  <si>
    <t xml:space="preserve">been permitted and are awaiting construction and those that are under construction. The attrition that </t>
  </si>
  <si>
    <t xml:space="preserve">occurs as installations pass through the pipeline has not been taken into account and the aggregate </t>
  </si>
  <si>
    <t xml:space="preserve">annual energy generation for these installations represents a theoretical maximum for eventual </t>
  </si>
  <si>
    <t>generation between National and Local installations expressed as percentages is not significantly</t>
  </si>
  <si>
    <t xml:space="preserve">deployment. Although the magnitude of future generation is uncertain, the split of annual energy </t>
  </si>
  <si>
    <r>
      <rPr>
        <b/>
        <sz val="8"/>
        <rFont val="Arial"/>
        <family val="2"/>
      </rPr>
      <t>CONSTRUCTION</t>
    </r>
    <r>
      <rPr>
        <b/>
        <sz val="8"/>
        <color rgb="FFFF0000"/>
        <rFont val="Arial"/>
        <family val="2"/>
      </rPr>
      <t xml:space="preserve"> at 31 December 2021</t>
    </r>
  </si>
  <si>
    <r>
      <t>Table 3  OPERATIONAL, UNDER CONSTRUCTION &amp; AWAITING</t>
    </r>
    <r>
      <rPr>
        <b/>
        <sz val="8"/>
        <rFont val="Arial"/>
        <family val="2"/>
      </rPr>
      <t/>
    </r>
  </si>
  <si>
    <r>
      <t xml:space="preserve"> </t>
    </r>
    <r>
      <rPr>
        <b/>
        <sz val="8"/>
        <rFont val="Arial"/>
        <family val="2"/>
      </rPr>
      <t>CONSTRUCTION</t>
    </r>
    <r>
      <rPr>
        <b/>
        <sz val="8"/>
        <color rgb="FFFF0000"/>
        <rFont val="Arial"/>
        <family val="2"/>
      </rPr>
      <t xml:space="preserve"> at 30 June 2011</t>
    </r>
  </si>
  <si>
    <r>
      <t xml:space="preserve"> Table 4  OPERATIONAL </t>
    </r>
    <r>
      <rPr>
        <b/>
        <sz val="8"/>
        <color rgb="FFFF0000"/>
        <rFont val="Arial"/>
        <family val="2"/>
      </rPr>
      <t>at</t>
    </r>
    <r>
      <rPr>
        <b/>
        <sz val="8"/>
        <color theme="1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31 December 2020</t>
    </r>
  </si>
  <si>
    <r>
      <t>Table 7  AWAITING APPROVAL</t>
    </r>
    <r>
      <rPr>
        <b/>
        <sz val="8"/>
        <color rgb="FFFF0000"/>
        <rFont val="Arial"/>
        <family val="2"/>
      </rPr>
      <t xml:space="preserve"> at 31 December 2021</t>
    </r>
  </si>
  <si>
    <r>
      <t>Table 5  OPERATIONAL</t>
    </r>
    <r>
      <rPr>
        <b/>
        <sz val="8"/>
        <rFont val="Arial"/>
        <family val="2"/>
      </rPr>
      <t xml:space="preserve"> at </t>
    </r>
    <r>
      <rPr>
        <b/>
        <sz val="8"/>
        <color rgb="FFFF0000"/>
        <rFont val="Arial"/>
        <family val="2"/>
      </rPr>
      <t>31 December 2021</t>
    </r>
  </si>
  <si>
    <r>
      <t xml:space="preserve"> Table 2 OPERATIONAL</t>
    </r>
    <r>
      <rPr>
        <b/>
        <sz val="8"/>
        <color rgb="FFFF0000"/>
        <rFont val="Arial"/>
        <family val="2"/>
      </rPr>
      <t xml:space="preserve"> at 30 June 2011</t>
    </r>
  </si>
  <si>
    <r>
      <rPr>
        <b/>
        <sz val="8"/>
        <rFont val="Arial"/>
        <family val="2"/>
      </rPr>
      <t xml:space="preserve"> CONSTRUCTION &amp; AWAITING APPROVAL</t>
    </r>
    <r>
      <rPr>
        <b/>
        <sz val="8"/>
        <color rgb="FFFF0000"/>
        <rFont val="Arial"/>
        <family val="2"/>
      </rPr>
      <t xml:space="preserve"> at 31 December 2021</t>
    </r>
  </si>
  <si>
    <r>
      <t xml:space="preserve">INSTALLLATIONS </t>
    </r>
    <r>
      <rPr>
        <b/>
        <sz val="8"/>
        <color rgb="FFFF0000"/>
        <rFont val="Arial"/>
        <family val="2"/>
      </rPr>
      <t>at 31 December 2021</t>
    </r>
  </si>
  <si>
    <t>2. The means by which reduction was to be carried out was for a local authority not to claim</t>
  </si>
  <si>
    <t>the output from an installation of National Significance for its area but to allow the aggregate</t>
  </si>
  <si>
    <t>3. At the time the decision was made, 23 Installations of National Significance were responsible</t>
  </si>
  <si>
    <t>for 31% of UK renewable electricity output. By 31 December 2020 these figures had risen to 90</t>
  </si>
  <si>
    <t xml:space="preserve">and BCP*, all others are shown in Table 11a. </t>
  </si>
  <si>
    <t>*Bournemouth, Christchurch &amp; Poole Unitary Authority.</t>
  </si>
  <si>
    <t>Telephone 07947228063</t>
  </si>
  <si>
    <t>and Local Significance to UK renewable energy generation from 30 Jun 2011 to 31 Dec 2021.</t>
  </si>
  <si>
    <r>
      <t xml:space="preserve">Table 1 (a)  SUMMARY OF ESTIMATES OF GENERATION BY INSTALLATIONS OF </t>
    </r>
    <r>
      <rPr>
        <b/>
        <sz val="8"/>
        <color rgb="FFFF0000"/>
        <rFont val="Arial"/>
        <family val="2"/>
      </rPr>
      <t>NATIONAL</t>
    </r>
    <r>
      <rPr>
        <b/>
        <sz val="8"/>
        <rFont val="Arial"/>
        <family val="2"/>
      </rPr>
      <t xml:space="preserve"> SIGNIFICANCE</t>
    </r>
  </si>
  <si>
    <r>
      <t xml:space="preserve">Table 1 (b)  SUMMARY OF ESTIMATES OF GENERATION BY INSTALLATIONS OF </t>
    </r>
    <r>
      <rPr>
        <b/>
        <sz val="8"/>
        <color rgb="FFFF0000"/>
        <rFont val="Arial"/>
        <family val="2"/>
      </rPr>
      <t>LOCAL</t>
    </r>
    <r>
      <rPr>
        <b/>
        <sz val="8"/>
        <color theme="1"/>
        <rFont val="Arial"/>
        <family val="2"/>
      </rPr>
      <t xml:space="preserve"> SIGNIFICANCE</t>
    </r>
  </si>
  <si>
    <t xml:space="preserve"> </t>
  </si>
  <si>
    <t xml:space="preserve">6.1  Table 2 shows the annual contribution from operational installations of National Significance </t>
  </si>
  <si>
    <t>(the last day of Target Year 2020),  published 23 February 2021, was 54.1%.</t>
  </si>
  <si>
    <t>at 30 June 2011, close to the 12 July 2011 publication date of the BEIS Road Map, to be just 31%.</t>
  </si>
  <si>
    <t>at 30 June 2011 to 54.2% at 31 December 2021 (having been forecast to increase to about 50%),</t>
  </si>
  <si>
    <t>Summary</t>
  </si>
  <si>
    <t>identified generation in Table 8 from 153.70 to 418.41 TWh, an increase of 172%. It can be noted</t>
  </si>
  <si>
    <t>1. Guidance on Nationally Significant Infrastructure, Planning Act 2008, published DCLG, March 2017.</t>
  </si>
  <si>
    <t>1. This report concludes that it would be appropriate for Dorset Council to reintroduce the 2011</t>
  </si>
  <si>
    <t>policy whereby each UK local authority was able to reduce its 2020 renewable energy target by</t>
  </si>
  <si>
    <t>of its 2020 target. It can be noted that the 2020 target required 15% of total energy consumption</t>
  </si>
  <si>
    <t>output from all such installations to be distributed, virtually, to every local administration as 50%</t>
  </si>
  <si>
    <t xml:space="preserve">and 54%, respectively. This evidence and an analysis of future trends, importantly the Government </t>
  </si>
  <si>
    <t>long term.</t>
  </si>
  <si>
    <t>focus on offshore wind and nuclear, suggest that a figure of 70% is possible in the medium to</t>
  </si>
  <si>
    <t>50% from 15% (the UK target) to 7.5%. This policy was proposed and implemented when it was</t>
  </si>
  <si>
    <t>realised that if the 15% target were to be realised, the damage that would be done to Dorset's</t>
  </si>
  <si>
    <t>elsewhere.</t>
  </si>
  <si>
    <t xml:space="preserve">Three technologies are not covered in these reports. Load factors for these have been obtained </t>
  </si>
  <si>
    <t>affected unless their attrition rates are significantly different. Whether or not there is a significant</t>
  </si>
  <si>
    <t>difference in rates has not been determined for the data published in this report.</t>
  </si>
  <si>
    <t>6.5 Table 6 indicates that the contribution increases to 64% if installations with planning consent that</t>
  </si>
  <si>
    <t>Table A</t>
  </si>
  <si>
    <t>Table B</t>
  </si>
  <si>
    <t xml:space="preserve">generation from installations of National Significance: England, Dorset Council and the Unitary Authority </t>
  </si>
  <si>
    <t xml:space="preserve">11. Tables A &amp; B below provide information on the impact on three administrative areas of sharing </t>
  </si>
  <si>
    <t>allow for its share of generation from Installations of National Significance.</t>
  </si>
  <si>
    <t>of National Significance</t>
  </si>
  <si>
    <r>
      <t xml:space="preserve">Tables 1 (a) </t>
    </r>
    <r>
      <rPr>
        <sz val="8"/>
        <color theme="1"/>
        <rFont val="Arial"/>
        <family val="2"/>
      </rPr>
      <t>&amp;</t>
    </r>
    <r>
      <rPr>
        <sz val="10"/>
        <color theme="1"/>
        <rFont val="Arial"/>
        <family val="2"/>
      </rPr>
      <t xml:space="preserve">1 (b) provide summaries of data for installations of National Significance and </t>
    </r>
  </si>
  <si>
    <t>Local Significance, respectively.</t>
  </si>
  <si>
    <t>2. There are two criteria that have to be satisfied for an installation to be of National Significance:</t>
  </si>
  <si>
    <t>installations are defined as being of Local Significance.</t>
  </si>
  <si>
    <t>6. Tables 2 to 9 of this report provide detailed estimates of the contribution of installations of National</t>
  </si>
  <si>
    <t xml:space="preserve">that 418.41 TWh represents 83.435% of total generation but this would be reduced by increases in </t>
  </si>
  <si>
    <t>8.3.1 All operational and planned UK nuclear power stations have an installed capacity well in excess</t>
  </si>
  <si>
    <t xml:space="preserve">of 100 MW and are considered to be of National Significance. They play an important role as a reliable </t>
  </si>
  <si>
    <t>gases, it relies upon uranium as a fuel, which is clearly not renewable.</t>
  </si>
  <si>
    <r>
      <t xml:space="preserve">Table 16 </t>
    </r>
    <r>
      <rPr>
        <b/>
        <sz val="8"/>
        <color rgb="FFFF0000"/>
        <rFont val="Arial"/>
        <family val="2"/>
      </rPr>
      <t>DORSET</t>
    </r>
    <r>
      <rPr>
        <b/>
        <i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OPERATIONAL RENEWABLE ELECTRICITY</t>
    </r>
  </si>
  <si>
    <t>Dynamic Dispatch Team's estimate of 676.76 TWh for high electricity demand in 2050.</t>
  </si>
  <si>
    <t xml:space="preserve">generation of Local Significance that have not been estimated for inclusion in this report. </t>
  </si>
  <si>
    <t>10. What remains is a decision to reintroduce the 2011 renewable energy policy stated in</t>
  </si>
  <si>
    <t>paragraph 1 so that it would be appropriate for a Local Authority to reduce its 2050 Target</t>
  </si>
  <si>
    <t xml:space="preserve">carbon (principally nuclear) energy installations of National Significance. </t>
  </si>
  <si>
    <t xml:space="preserve">9. In conclusion, the above analysis suggests that it would be safe to assume that by 2030 the </t>
  </si>
  <si>
    <t xml:space="preserve">sources of at least 70% of annual electricity generation would be a combination of renewable and low </t>
  </si>
  <si>
    <t>that the UK is generating from installations of National Significance.</t>
  </si>
  <si>
    <t xml:space="preserve">for 100% of electricity consumption to be from local renewable sources by the percentage   </t>
  </si>
  <si>
    <t>rural assets, particularly its landscapes, would be unacceptable.</t>
  </si>
  <si>
    <t xml:space="preserve">to 229.19 TWh.  </t>
  </si>
  <si>
    <t xml:space="preserve">2.26 TWh. This  can be added to future generation of National Significance, raising it from 226.93 TWh </t>
  </si>
  <si>
    <t>5. As an example, Dorset Council's target of 3.84 TWh is reduced to 1.15 TWh. Allowing</t>
  </si>
  <si>
    <t>4. The significance of a 70% reduction in the 2050 target is summarised in Tables A &amp; B on page 4</t>
  </si>
  <si>
    <t xml:space="preserve">installation of roof-mounted solar photovoltaic panels on 50.3% of currently unutilised  </t>
  </si>
  <si>
    <t xml:space="preserve">for current generation of 0.50 TWh, the remaining 0.65 TWh could be provided by </t>
  </si>
  <si>
    <t>conclusions is the subject of a sister report "Solar Photovoltaics in 2050 Renewable</t>
  </si>
  <si>
    <t>Development Status of installations</t>
  </si>
  <si>
    <t xml:space="preserve">to be generated by renewable sources. In contrast, the current 2050 target requires 100% of </t>
  </si>
  <si>
    <t>total electricity consumption to be generated from renewable sources.</t>
  </si>
  <si>
    <t>buildings necessary to reach the target by installation of roof-mounted solar photovoltaics.</t>
  </si>
  <si>
    <t>National Significance. This would increase their contribution from 153.70 TWh to 226.93 TWh.</t>
  </si>
  <si>
    <t>for three authorities: England, Dorset Council UA and Bournemouth, Christchurch &amp; Poole UA.</t>
  </si>
  <si>
    <t xml:space="preserve">domestic, commercial and public buildings. The methodology employed to allow these </t>
  </si>
  <si>
    <t>Electricity Technology Mixes and the Role of Roof-Mounted Installations.</t>
  </si>
  <si>
    <t xml:space="preserve">Installations in the pipeline are those that have been submitted for planning consent, those that have </t>
  </si>
  <si>
    <t>"low-carbon" (rather than renewable) source of electricity when wind speeds and sunlight are at low</t>
  </si>
  <si>
    <t>levels. The term "low carbon" is used because although nuclear technology does not emit greenhouse</t>
  </si>
  <si>
    <t>Revised report 22 April 2024</t>
  </si>
  <si>
    <r>
      <t xml:space="preserve">Table 17  </t>
    </r>
    <r>
      <rPr>
        <b/>
        <sz val="8"/>
        <color rgb="FFFF0000"/>
        <rFont val="Arial"/>
        <family val="2"/>
      </rPr>
      <t>BCP</t>
    </r>
    <r>
      <rPr>
        <b/>
        <sz val="8"/>
        <color theme="1"/>
        <rFont val="Arial"/>
        <family val="2"/>
      </rPr>
      <t xml:space="preserve"> OPERATIONAL RENEWABLE ELECTRICITY </t>
    </r>
  </si>
  <si>
    <t>Table 8  OPERATIONAL, UNDER CONSTRUCTION, AWAITING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</si>
</sst>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0.0"/>
    <numFmt numFmtId="166" formatCode="0.0000"/>
    <numFmt numFmtId="167" formatCode="#,##0.000"/>
    <numFmt numFmtId="168" formatCode="0.0%"/>
    <numFmt numFmtId="169" formatCode="#,##0_ ;\-#,##0\ "/>
    <numFmt numFmtId="170" formatCode="#,##0.0000"/>
    <numFmt numFmtId="171" formatCode="0.0000_ ;\-0.0000\ "/>
    <numFmt numFmtId="172" formatCode="#,##0.0000_ ;\-#,##0.0000\ "/>
    <numFmt numFmtId="173" formatCode="#,##0.0_ ;\-#,##0.0\ "/>
    <numFmt numFmtId="174" formatCode="[$-F800]dddd\,\ mmmm\ dd\,\ yyyy"/>
  </numFmts>
  <fonts count="4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 tint="-4.9989318521683403E-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"/>
      <color theme="3"/>
      <name val="Arial"/>
      <family val="2"/>
    </font>
    <font>
      <u/>
      <sz val="10"/>
      <color theme="3"/>
      <name val="Arial"/>
      <family val="2"/>
    </font>
    <font>
      <b/>
      <sz val="8"/>
      <color rgb="FF000000"/>
      <name val="Arial"/>
      <family val="2"/>
    </font>
    <font>
      <sz val="9"/>
      <color rgb="FF1A2C27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u/>
      <sz val="9"/>
      <color rgb="FF0070C0"/>
      <name val="Arial"/>
      <family val="2"/>
    </font>
    <font>
      <u/>
      <sz val="9"/>
      <name val="Arial"/>
      <family val="2"/>
    </font>
    <font>
      <b/>
      <sz val="9"/>
      <color rgb="FF1A2C27"/>
      <name val="Arial"/>
      <family val="2"/>
    </font>
    <font>
      <vertAlign val="superscript"/>
      <sz val="8"/>
      <color theme="1"/>
      <name val="Arial"/>
      <family val="2"/>
    </font>
    <font>
      <u/>
      <sz val="9"/>
      <color rgb="FF0000FF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5" fillId="3" borderId="1" applyProtection="0">
      <alignment horizontal="right" vertical="center" wrapText="1"/>
    </xf>
    <xf numFmtId="3" fontId="4" fillId="4" borderId="2">
      <alignment horizontal="right" vertical="center" wrapText="1"/>
    </xf>
    <xf numFmtId="3" fontId="6" fillId="5" borderId="3" applyProtection="0">
      <alignment horizontal="right" vertical="center"/>
    </xf>
    <xf numFmtId="0" fontId="5" fillId="3" borderId="1" applyProtection="0">
      <alignment horizontal="left" vertical="center" wrapText="1"/>
    </xf>
    <xf numFmtId="0" fontId="14" fillId="0" borderId="0" applyNumberFormat="0" applyBorder="0" applyProtection="0"/>
    <xf numFmtId="0" fontId="14" fillId="0" borderId="0" applyNumberFormat="0" applyBorder="0" applyProtection="0"/>
    <xf numFmtId="0" fontId="17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393">
    <xf numFmtId="0" fontId="0" fillId="0" borderId="0" xfId="0"/>
    <xf numFmtId="0" fontId="0" fillId="0" borderId="10" xfId="0" applyBorder="1" applyAlignment="1">
      <alignment horizontal="center" vertical="center"/>
    </xf>
    <xf numFmtId="4" fontId="0" fillId="0" borderId="10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164" fontId="3" fillId="0" borderId="10" xfId="0" applyNumberFormat="1" applyFont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" fontId="0" fillId="0" borderId="10" xfId="0" applyNumberFormat="1" applyBorder="1" applyAlignment="1">
      <alignment vertical="center"/>
    </xf>
    <xf numFmtId="1" fontId="0" fillId="0" borderId="8" xfId="0" applyNumberFormat="1" applyBorder="1" applyAlignment="1">
      <alignment vertical="center"/>
    </xf>
    <xf numFmtId="1" fontId="0" fillId="0" borderId="9" xfId="0" applyNumberForma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167" fontId="0" fillId="0" borderId="10" xfId="0" applyNumberForma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right" vertical="center"/>
    </xf>
    <xf numFmtId="0" fontId="1" fillId="6" borderId="10" xfId="0" applyFont="1" applyFill="1" applyBorder="1" applyAlignment="1">
      <alignment horizontal="center" vertical="center"/>
    </xf>
    <xf numFmtId="164" fontId="1" fillId="6" borderId="10" xfId="0" applyNumberFormat="1" applyFont="1" applyFill="1" applyBorder="1" applyAlignment="1">
      <alignment vertical="center"/>
    </xf>
    <xf numFmtId="4" fontId="1" fillId="6" borderId="10" xfId="0" applyNumberFormat="1" applyFont="1" applyFill="1" applyBorder="1" applyAlignment="1">
      <alignment horizontal="right" vertical="center"/>
    </xf>
    <xf numFmtId="166" fontId="13" fillId="0" borderId="10" xfId="0" applyNumberFormat="1" applyFont="1" applyBorder="1" applyAlignment="1">
      <alignment horizontal="center" vertical="center"/>
    </xf>
    <xf numFmtId="166" fontId="11" fillId="6" borderId="10" xfId="0" applyNumberFormat="1" applyFont="1" applyFill="1" applyBorder="1" applyAlignment="1">
      <alignment horizontal="center" vertical="center"/>
    </xf>
    <xf numFmtId="166" fontId="16" fillId="0" borderId="10" xfId="0" applyNumberFormat="1" applyFont="1" applyBorder="1" applyAlignment="1">
      <alignment horizontal="center" vertical="center"/>
    </xf>
    <xf numFmtId="166" fontId="16" fillId="7" borderId="10" xfId="0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164" fontId="7" fillId="6" borderId="10" xfId="0" applyNumberFormat="1" applyFont="1" applyFill="1" applyBorder="1" applyAlignment="1">
      <alignment vertical="center"/>
    </xf>
    <xf numFmtId="4" fontId="7" fillId="6" borderId="10" xfId="0" applyNumberFormat="1" applyFont="1" applyFill="1" applyBorder="1" applyAlignment="1">
      <alignment horizontal="right" vertical="center"/>
    </xf>
    <xf numFmtId="3" fontId="1" fillId="6" borderId="10" xfId="0" applyNumberFormat="1" applyFont="1" applyFill="1" applyBorder="1" applyAlignment="1">
      <alignment horizontal="center" vertical="center"/>
    </xf>
    <xf numFmtId="166" fontId="19" fillId="6" borderId="10" xfId="0" applyNumberFormat="1" applyFont="1" applyFill="1" applyBorder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center"/>
    </xf>
    <xf numFmtId="166" fontId="16" fillId="7" borderId="10" xfId="7" applyNumberFormat="1" applyFont="1" applyFill="1" applyBorder="1" applyAlignment="1" applyProtection="1">
      <alignment horizontal="center" vertical="center"/>
      <protection locked="0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4" fontId="3" fillId="0" borderId="10" xfId="0" applyNumberFormat="1" applyFont="1" applyBorder="1" applyAlignment="1">
      <alignment vertical="center"/>
    </xf>
    <xf numFmtId="167" fontId="3" fillId="0" borderId="10" xfId="0" applyNumberFormat="1" applyFont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166" fontId="13" fillId="0" borderId="10" xfId="0" applyNumberFormat="1" applyFon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166" fontId="13" fillId="7" borderId="10" xfId="0" applyNumberFormat="1" applyFont="1" applyFill="1" applyBorder="1" applyAlignment="1">
      <alignment vertical="center"/>
    </xf>
    <xf numFmtId="166" fontId="16" fillId="0" borderId="10" xfId="0" applyNumberFormat="1" applyFont="1" applyBorder="1" applyAlignment="1">
      <alignment vertical="center"/>
    </xf>
    <xf numFmtId="168" fontId="21" fillId="0" borderId="10" xfId="0" applyNumberFormat="1" applyFont="1" applyBorder="1" applyAlignment="1">
      <alignment horizontal="left" vertical="center"/>
    </xf>
    <xf numFmtId="4" fontId="0" fillId="0" borderId="0" xfId="0" applyNumberFormat="1" applyAlignment="1">
      <alignment vertical="center"/>
    </xf>
    <xf numFmtId="169" fontId="21" fillId="0" borderId="10" xfId="0" applyNumberFormat="1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right" vertical="center"/>
    </xf>
    <xf numFmtId="170" fontId="13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right" vertical="center"/>
    </xf>
    <xf numFmtId="165" fontId="0" fillId="0" borderId="10" xfId="0" applyNumberFormat="1" applyBorder="1" applyAlignment="1">
      <alignment horizontal="left" vertical="center"/>
    </xf>
    <xf numFmtId="2" fontId="1" fillId="6" borderId="10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169" fontId="0" fillId="0" borderId="10" xfId="0" applyNumberFormat="1" applyBorder="1" applyAlignment="1">
      <alignment horizontal="center" vertical="center"/>
    </xf>
    <xf numFmtId="166" fontId="13" fillId="7" borderId="10" xfId="0" applyNumberFormat="1" applyFont="1" applyFill="1" applyBorder="1" applyAlignment="1">
      <alignment horizontal="center" vertical="center"/>
    </xf>
    <xf numFmtId="170" fontId="0" fillId="0" borderId="10" xfId="0" applyNumberFormat="1" applyBorder="1" applyAlignment="1">
      <alignment horizontal="right" vertical="center"/>
    </xf>
    <xf numFmtId="165" fontId="0" fillId="8" borderId="10" xfId="0" applyNumberFormat="1" applyFill="1" applyBorder="1" applyAlignment="1">
      <alignment horizontal="center" vertical="center"/>
    </xf>
    <xf numFmtId="169" fontId="1" fillId="6" borderId="10" xfId="0" applyNumberFormat="1" applyFont="1" applyFill="1" applyBorder="1" applyAlignment="1">
      <alignment horizontal="center" vertical="center"/>
    </xf>
    <xf numFmtId="164" fontId="1" fillId="6" borderId="10" xfId="0" applyNumberFormat="1" applyFont="1" applyFill="1" applyBorder="1" applyAlignment="1">
      <alignment horizontal="right" vertical="center"/>
    </xf>
    <xf numFmtId="170" fontId="11" fillId="6" borderId="10" xfId="0" applyNumberFormat="1" applyFont="1" applyFill="1" applyBorder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5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3" fontId="1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center"/>
    </xf>
    <xf numFmtId="166" fontId="1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165" fontId="1" fillId="0" borderId="10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3" fontId="0" fillId="0" borderId="9" xfId="0" applyNumberFormat="1" applyBorder="1" applyAlignment="1">
      <alignment vertical="center"/>
    </xf>
    <xf numFmtId="0" fontId="13" fillId="0" borderId="10" xfId="0" applyFont="1" applyBorder="1" applyAlignment="1">
      <alignment horizontal="right" vertical="center"/>
    </xf>
    <xf numFmtId="3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3" fontId="1" fillId="0" borderId="10" xfId="0" applyNumberFormat="1" applyFont="1" applyBorder="1" applyAlignment="1">
      <alignment vertical="center"/>
    </xf>
    <xf numFmtId="4" fontId="1" fillId="0" borderId="10" xfId="0" applyNumberFormat="1" applyFont="1" applyBorder="1" applyAlignment="1">
      <alignment horizontal="right" vertical="center"/>
    </xf>
    <xf numFmtId="49" fontId="12" fillId="0" borderId="0" xfId="7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12" fillId="0" borderId="0" xfId="7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165" fontId="21" fillId="2" borderId="10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3" fontId="21" fillId="0" borderId="10" xfId="0" applyNumberFormat="1" applyFont="1" applyBorder="1" applyAlignment="1">
      <alignment vertical="center"/>
    </xf>
    <xf numFmtId="4" fontId="21" fillId="0" borderId="10" xfId="0" applyNumberFormat="1" applyFont="1" applyBorder="1" applyAlignment="1">
      <alignment horizontal="center" vertical="center"/>
    </xf>
    <xf numFmtId="172" fontId="13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" fontId="21" fillId="0" borderId="10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21" fillId="0" borderId="12" xfId="0" applyFont="1" applyBorder="1" applyAlignment="1">
      <alignment horizontal="center" vertical="center"/>
    </xf>
    <xf numFmtId="4" fontId="21" fillId="0" borderId="7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4" fontId="21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4" fontId="21" fillId="9" borderId="10" xfId="0" applyNumberFormat="1" applyFont="1" applyFill="1" applyBorder="1" applyAlignment="1">
      <alignment horizontal="center" vertical="center"/>
    </xf>
    <xf numFmtId="166" fontId="13" fillId="9" borderId="10" xfId="0" applyNumberFormat="1" applyFont="1" applyFill="1" applyBorder="1" applyAlignment="1">
      <alignment horizontal="center" vertical="center"/>
    </xf>
    <xf numFmtId="2" fontId="21" fillId="9" borderId="10" xfId="0" applyNumberFormat="1" applyFont="1" applyFill="1" applyBorder="1" applyAlignment="1">
      <alignment horizontal="center" vertical="center"/>
    </xf>
    <xf numFmtId="165" fontId="21" fillId="9" borderId="10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172" fontId="13" fillId="9" borderId="10" xfId="0" applyNumberFormat="1" applyFont="1" applyFill="1" applyBorder="1" applyAlignment="1">
      <alignment horizontal="center" vertical="center"/>
    </xf>
    <xf numFmtId="4" fontId="21" fillId="9" borderId="10" xfId="0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167" fontId="0" fillId="0" borderId="10" xfId="0" applyNumberFormat="1" applyBorder="1" applyAlignment="1">
      <alignment vertical="center"/>
    </xf>
    <xf numFmtId="4" fontId="0" fillId="0" borderId="9" xfId="0" applyNumberFormat="1" applyBorder="1" applyAlignment="1">
      <alignment horizontal="right" vertical="center"/>
    </xf>
    <xf numFmtId="165" fontId="1" fillId="2" borderId="6" xfId="0" applyNumberFormat="1" applyFont="1" applyFill="1" applyBorder="1" applyAlignment="1">
      <alignment horizontal="center" vertical="center"/>
    </xf>
    <xf numFmtId="3" fontId="19" fillId="6" borderId="10" xfId="0" applyNumberFormat="1" applyFont="1" applyFill="1" applyBorder="1" applyAlignment="1">
      <alignment horizontal="center" vertical="center"/>
    </xf>
    <xf numFmtId="4" fontId="11" fillId="6" borderId="10" xfId="0" applyNumberFormat="1" applyFont="1" applyFill="1" applyBorder="1" applyAlignment="1">
      <alignment horizontal="right" vertical="center"/>
    </xf>
    <xf numFmtId="164" fontId="1" fillId="6" borderId="10" xfId="0" applyNumberFormat="1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4" fontId="10" fillId="4" borderId="10" xfId="0" applyNumberFormat="1" applyFont="1" applyFill="1" applyBorder="1" applyAlignment="1">
      <alignment horizontal="right" vertical="center"/>
    </xf>
    <xf numFmtId="170" fontId="0" fillId="4" borderId="10" xfId="0" applyNumberFormat="1" applyFill="1" applyBorder="1" applyAlignment="1">
      <alignment horizontal="right" vertical="center"/>
    </xf>
    <xf numFmtId="170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3" fontId="11" fillId="6" borderId="10" xfId="0" applyNumberFormat="1" applyFont="1" applyFill="1" applyBorder="1" applyAlignment="1">
      <alignment vertical="center"/>
    </xf>
    <xf numFmtId="164" fontId="11" fillId="6" borderId="10" xfId="0" applyNumberFormat="1" applyFont="1" applyFill="1" applyBorder="1" applyAlignment="1">
      <alignment vertical="center"/>
    </xf>
    <xf numFmtId="166" fontId="11" fillId="6" borderId="10" xfId="0" applyNumberFormat="1" applyFont="1" applyFill="1" applyBorder="1" applyAlignment="1">
      <alignment vertical="center"/>
    </xf>
    <xf numFmtId="4" fontId="11" fillId="6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70" fontId="10" fillId="0" borderId="10" xfId="0" applyNumberFormat="1" applyFont="1" applyBorder="1" applyAlignment="1">
      <alignment horizontal="center" vertical="center"/>
    </xf>
    <xf numFmtId="170" fontId="0" fillId="0" borderId="5" xfId="0" applyNumberFormat="1" applyBorder="1" applyAlignment="1">
      <alignment vertical="center"/>
    </xf>
    <xf numFmtId="17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166" fontId="0" fillId="0" borderId="10" xfId="0" applyNumberForma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 applyAlignment="1">
      <alignment horizontal="right" vertical="center"/>
    </xf>
    <xf numFmtId="166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center"/>
    </xf>
    <xf numFmtId="0" fontId="9" fillId="0" borderId="0" xfId="0" applyFont="1" applyAlignment="1">
      <alignment vertical="center" wrapText="1"/>
    </xf>
    <xf numFmtId="0" fontId="10" fillId="0" borderId="10" xfId="0" applyFont="1" applyBorder="1" applyAlignment="1">
      <alignment horizontal="right"/>
    </xf>
    <xf numFmtId="4" fontId="7" fillId="6" borderId="10" xfId="0" applyNumberFormat="1" applyFont="1" applyFill="1" applyBorder="1" applyAlignment="1">
      <alignment horizontal="center" vertical="center"/>
    </xf>
    <xf numFmtId="170" fontId="7" fillId="6" borderId="10" xfId="0" applyNumberFormat="1" applyFont="1" applyFill="1" applyBorder="1" applyAlignment="1">
      <alignment horizontal="center" vertical="center"/>
    </xf>
    <xf numFmtId="164" fontId="7" fillId="6" borderId="10" xfId="0" applyNumberFormat="1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173" fontId="1" fillId="6" borderId="10" xfId="0" applyNumberFormat="1" applyFont="1" applyFill="1" applyBorder="1" applyAlignment="1">
      <alignment horizontal="right" vertical="center"/>
    </xf>
    <xf numFmtId="2" fontId="21" fillId="0" borderId="10" xfId="0" applyNumberFormat="1" applyFont="1" applyBorder="1" applyAlignment="1">
      <alignment vertical="center"/>
    </xf>
    <xf numFmtId="2" fontId="1" fillId="6" borderId="10" xfId="0" applyNumberFormat="1" applyFont="1" applyFill="1" applyBorder="1" applyAlignment="1">
      <alignment vertical="center"/>
    </xf>
    <xf numFmtId="164" fontId="11" fillId="2" borderId="10" xfId="0" applyNumberFormat="1" applyFont="1" applyFill="1" applyBorder="1" applyAlignment="1">
      <alignment horizontal="center" vertical="center"/>
    </xf>
    <xf numFmtId="171" fontId="13" fillId="0" borderId="10" xfId="0" applyNumberFormat="1" applyFont="1" applyBorder="1" applyAlignment="1">
      <alignment horizontal="center" vertical="center"/>
    </xf>
    <xf numFmtId="4" fontId="7" fillId="6" borderId="10" xfId="0" applyNumberFormat="1" applyFont="1" applyFill="1" applyBorder="1" applyAlignment="1">
      <alignment vertical="center"/>
    </xf>
    <xf numFmtId="170" fontId="13" fillId="0" borderId="10" xfId="0" applyNumberFormat="1" applyFont="1" applyBorder="1" applyAlignment="1">
      <alignment horizontal="right"/>
    </xf>
    <xf numFmtId="170" fontId="13" fillId="0" borderId="10" xfId="0" applyNumberFormat="1" applyFont="1" applyBorder="1" applyAlignment="1">
      <alignment horizontal="center"/>
    </xf>
    <xf numFmtId="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74" fontId="15" fillId="0" borderId="0" xfId="0" applyNumberFormat="1" applyFont="1" applyAlignment="1">
      <alignment horizontal="center" vertical="center"/>
    </xf>
    <xf numFmtId="174" fontId="13" fillId="0" borderId="0" xfId="0" applyNumberFormat="1" applyFont="1" applyAlignment="1">
      <alignment horizontal="center" vertical="center"/>
    </xf>
    <xf numFmtId="174" fontId="11" fillId="0" borderId="0" xfId="0" applyNumberFormat="1" applyFont="1" applyAlignment="1">
      <alignment horizontal="center" vertical="center"/>
    </xf>
    <xf numFmtId="174" fontId="13" fillId="0" borderId="0" xfId="0" applyNumberFormat="1" applyFont="1"/>
    <xf numFmtId="17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74" fontId="13" fillId="0" borderId="0" xfId="0" applyNumberFormat="1" applyFont="1" applyAlignment="1">
      <alignment horizontal="center"/>
    </xf>
    <xf numFmtId="174" fontId="13" fillId="0" borderId="0" xfId="0" applyNumberFormat="1" applyFont="1" applyAlignment="1">
      <alignment horizontal="center" vertical="top"/>
    </xf>
    <xf numFmtId="174" fontId="11" fillId="0" borderId="0" xfId="0" applyNumberFormat="1" applyFont="1" applyAlignment="1">
      <alignment horizontal="center" vertical="top"/>
    </xf>
    <xf numFmtId="174" fontId="13" fillId="0" borderId="0" xfId="0" applyNumberFormat="1" applyFont="1" applyAlignment="1">
      <alignment horizontal="left" vertical="center"/>
    </xf>
    <xf numFmtId="174" fontId="11" fillId="0" borderId="0" xfId="0" applyNumberFormat="1" applyFont="1" applyAlignment="1">
      <alignment horizontal="left" vertical="center"/>
    </xf>
    <xf numFmtId="174" fontId="29" fillId="0" borderId="0" xfId="0" applyNumberFormat="1" applyFont="1" applyAlignment="1">
      <alignment horizontal="center"/>
    </xf>
    <xf numFmtId="174" fontId="31" fillId="0" borderId="0" xfId="10" applyNumberFormat="1" applyFont="1" applyAlignment="1" applyProtection="1">
      <alignment horizontal="center"/>
    </xf>
    <xf numFmtId="174" fontId="34" fillId="0" borderId="0" xfId="0" applyNumberFormat="1" applyFont="1" applyAlignment="1">
      <alignment horizontal="center"/>
    </xf>
    <xf numFmtId="49" fontId="31" fillId="0" borderId="0" xfId="10" applyNumberFormat="1" applyFont="1" applyAlignment="1" applyProtection="1">
      <alignment horizontal="left" vertical="center"/>
    </xf>
    <xf numFmtId="49" fontId="36" fillId="0" borderId="0" xfId="0" applyNumberFormat="1" applyFont="1" applyAlignment="1">
      <alignment horizontal="left" vertical="center"/>
    </xf>
    <xf numFmtId="174" fontId="0" fillId="0" borderId="0" xfId="0" applyNumberFormat="1" applyAlignment="1">
      <alignment horizontal="center" vertical="center"/>
    </xf>
    <xf numFmtId="174" fontId="1" fillId="0" borderId="0" xfId="0" applyNumberFormat="1" applyFont="1" applyAlignment="1">
      <alignment horizontal="center" vertical="center"/>
    </xf>
    <xf numFmtId="174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164" fontId="0" fillId="4" borderId="10" xfId="0" applyNumberForma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174" fontId="37" fillId="0" borderId="0" xfId="0" applyNumberFormat="1" applyFont="1" applyAlignment="1">
      <alignment horizontal="center" vertical="top"/>
    </xf>
    <xf numFmtId="174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174" fontId="37" fillId="0" borderId="0" xfId="0" applyNumberFormat="1" applyFont="1" applyAlignment="1">
      <alignment horizontal="center" vertical="center"/>
    </xf>
    <xf numFmtId="3" fontId="3" fillId="0" borderId="0" xfId="7" applyNumberFormat="1" applyFont="1" applyBorder="1" applyAlignment="1">
      <alignment horizontal="left" vertical="center"/>
    </xf>
    <xf numFmtId="49" fontId="3" fillId="0" borderId="0" xfId="7" applyNumberFormat="1" applyFont="1" applyBorder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166" fontId="1" fillId="0" borderId="10" xfId="0" applyNumberFormat="1" applyFont="1" applyBorder="1" applyAlignment="1">
      <alignment horizontal="center"/>
    </xf>
    <xf numFmtId="170" fontId="11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right" vertical="center"/>
    </xf>
    <xf numFmtId="170" fontId="11" fillId="0" borderId="10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center"/>
    </xf>
    <xf numFmtId="164" fontId="0" fillId="0" borderId="0" xfId="0" applyNumberFormat="1" applyAlignment="1">
      <alignment vertical="center"/>
    </xf>
    <xf numFmtId="164" fontId="0" fillId="2" borderId="10" xfId="0" applyNumberFormat="1" applyFill="1" applyBorder="1" applyAlignment="1">
      <alignment horizontal="right" vertical="center"/>
    </xf>
    <xf numFmtId="164" fontId="21" fillId="2" borderId="10" xfId="0" applyNumberFormat="1" applyFont="1" applyFill="1" applyBorder="1" applyAlignment="1">
      <alignment horizontal="right" vertical="center"/>
    </xf>
    <xf numFmtId="165" fontId="0" fillId="10" borderId="10" xfId="0" applyNumberForma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0" fontId="0" fillId="0" borderId="0" xfId="0" applyNumberForma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0" fontId="10" fillId="0" borderId="0" xfId="0" applyFont="1"/>
    <xf numFmtId="0" fontId="10" fillId="0" borderId="9" xfId="0" applyFont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left" vertical="center"/>
    </xf>
    <xf numFmtId="2" fontId="0" fillId="0" borderId="0" xfId="0" applyNumberFormat="1"/>
    <xf numFmtId="0" fontId="1" fillId="0" borderId="0" xfId="0" applyFont="1"/>
    <xf numFmtId="49" fontId="1" fillId="0" borderId="0" xfId="0" applyNumberFormat="1" applyFont="1" applyAlignment="1">
      <alignment vertical="center"/>
    </xf>
    <xf numFmtId="170" fontId="0" fillId="0" borderId="10" xfId="0" applyNumberFormat="1" applyBorder="1" applyAlignment="1">
      <alignment horizontal="center" vertical="center"/>
    </xf>
    <xf numFmtId="4" fontId="12" fillId="4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166" fontId="0" fillId="0" borderId="10" xfId="0" applyNumberFormat="1" applyBorder="1" applyAlignment="1">
      <alignment horizontal="center" vertical="center"/>
    </xf>
    <xf numFmtId="4" fontId="10" fillId="2" borderId="10" xfId="0" applyNumberFormat="1" applyFont="1" applyFill="1" applyBorder="1" applyAlignment="1">
      <alignment horizontal="right" vertical="center"/>
    </xf>
    <xf numFmtId="170" fontId="0" fillId="2" borderId="10" xfId="0" applyNumberFormat="1" applyFill="1" applyBorder="1" applyAlignment="1">
      <alignment horizontal="right" vertical="center"/>
    </xf>
    <xf numFmtId="164" fontId="0" fillId="2" borderId="10" xfId="0" applyNumberFormat="1" applyFill="1" applyBorder="1" applyAlignment="1">
      <alignment horizontal="center" vertical="center"/>
    </xf>
    <xf numFmtId="170" fontId="0" fillId="2" borderId="10" xfId="0" applyNumberFormat="1" applyFill="1" applyBorder="1" applyAlignment="1">
      <alignment vertical="center"/>
    </xf>
    <xf numFmtId="4" fontId="12" fillId="2" borderId="10" xfId="0" applyNumberFormat="1" applyFont="1" applyFill="1" applyBorder="1" applyAlignment="1">
      <alignment horizontal="right" vertical="center"/>
    </xf>
    <xf numFmtId="3" fontId="0" fillId="2" borderId="10" xfId="0" applyNumberFormat="1" applyFill="1" applyBorder="1" applyAlignment="1">
      <alignment horizontal="right" vertical="center"/>
    </xf>
    <xf numFmtId="170" fontId="0" fillId="2" borderId="5" xfId="0" applyNumberFormat="1" applyFill="1" applyBorder="1" applyAlignment="1">
      <alignment vertical="center"/>
    </xf>
    <xf numFmtId="170" fontId="0" fillId="2" borderId="10" xfId="0" applyNumberFormat="1" applyFill="1" applyBorder="1" applyAlignment="1">
      <alignment horizontal="center" vertical="center"/>
    </xf>
    <xf numFmtId="166" fontId="0" fillId="2" borderId="10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/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165" fontId="0" fillId="2" borderId="7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4" xfId="0" applyBorder="1"/>
    <xf numFmtId="0" fontId="0" fillId="0" borderId="12" xfId="0" applyBorder="1"/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 wrapText="1"/>
    </xf>
    <xf numFmtId="164" fontId="10" fillId="0" borderId="17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/>
    </xf>
    <xf numFmtId="4" fontId="1" fillId="4" borderId="18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/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11">
    <cellStyle name="Column Header" xfId="3" xr:uid="{00000000-0005-0000-0000-000000000000}"/>
    <cellStyle name="Data Table" xfId="4" xr:uid="{00000000-0005-0000-0000-000001000000}"/>
    <cellStyle name="Hyperlink" xfId="10" builtinId="8"/>
    <cellStyle name="Link to Another File" xfId="5" xr:uid="{00000000-0005-0000-0000-000003000000}"/>
    <cellStyle name="Normal" xfId="0" builtinId="0"/>
    <cellStyle name="Normal 10" xfId="8" xr:uid="{00000000-0005-0000-0000-000005000000}"/>
    <cellStyle name="Normal 2" xfId="7" xr:uid="{00000000-0005-0000-0000-000006000000}"/>
    <cellStyle name="Normal 3" xfId="1" xr:uid="{00000000-0005-0000-0000-000007000000}"/>
    <cellStyle name="Normal 4" xfId="2" xr:uid="{00000000-0005-0000-0000-000008000000}"/>
    <cellStyle name="Normal 5" xfId="9" xr:uid="{00000000-0005-0000-0000-000009000000}"/>
    <cellStyle name="Row Header" xfId="6" xr:uid="{00000000-0005-0000-0000-00000A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s://assets.publishing.service.gov.uk/government/uploads/system/uploads/attachment_data/file/943714/Modelling-2050-Electricity-System-Analysis.pdf" TargetMode="External"/><Relationship Id="rId1" Type="http://schemas.openxmlformats.org/officeDocument/2006/relationships/hyperlink" Target="https://www.gov.uk/government/statistics/solar-photovoltaics-deploymen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0</xdr:colOff>
      <xdr:row>54</xdr:row>
      <xdr:rowOff>0</xdr:rowOff>
    </xdr:from>
    <xdr:to>
      <xdr:col>43</xdr:col>
      <xdr:colOff>152400</xdr:colOff>
      <xdr:row>54</xdr:row>
      <xdr:rowOff>152400</xdr:rowOff>
    </xdr:to>
    <xdr:sp macro="" textlink="">
      <xdr:nvSpPr>
        <xdr:cNvPr id="4" name="AutoShape 1" descr="data:image/png;base64,iVBORw0KGgoAAAANSUhEUgAAABAAAAAQCAYAAAAf8/9hAAAACXBIWXMAAAsSAAALEgHS3X78AAAB3ElEQVQ4jY2TPWhTURTH/+e8l7QNJg0qCJpCSdEnONTFDk5udfILs9mS6iJYpI4VnURXUcRJrFG3gm3tXLpIxaUUIVA/iLRJayQ2Nk1q7cu99zjUF/JhQv7jOff/O+fcwyERAQAQEaoVjsdOirgP93L+W5svJpeq8xVfPWD/yPkepekBWbjETl8nM0h9XtkRV72xLbmdn5hJ/xdw4OaVkC6U7oBwg6MRH0d7fGTbQDoLIYKUXa2/rO5C6SdWOHh/4/HrLQCwvZZUoZi2Dh/ysdPbRZ0dNeOQCMj2WXTiaMCUtsdUKn0dQHcNAEZCVr+DViJjYAW6/NqI34txS0eVIqEwRgfONMTbApyORDE3PIbF9dX2AKPHTyESCFbMExeGMTL9EguZVHuAxY3vmBscwtkjfS3NTQELuQzi72bwaGAQ8elEUzNQtQUiLsmf3X3eCt/n1uBMPQUy2bqSDCIuNXQgjHnJ5kzTUt47rUQY8w0AG2ZcLX/bkc2t5m5mlJdTv22Y8QZAPjGbBPHl8oePRb2yruu9BjBu8msRGrF8YjZZGb3+mA5ePee4ip9xoKOfj/UGSRuYtR/b+ldxyW/paz+fv/0EtLhGT91DF2NgubtXnu4VXk1N1vzFP99f037PUFbu4yIAAAAASUVORK5CYII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3604675" y="48577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41</xdr:col>
      <xdr:colOff>0</xdr:colOff>
      <xdr:row>54</xdr:row>
      <xdr:rowOff>0</xdr:rowOff>
    </xdr:from>
    <xdr:to>
      <xdr:col>41</xdr:col>
      <xdr:colOff>152400</xdr:colOff>
      <xdr:row>54</xdr:row>
      <xdr:rowOff>152400</xdr:rowOff>
    </xdr:to>
    <xdr:sp macro="" textlink="">
      <xdr:nvSpPr>
        <xdr:cNvPr id="5" name="AutoShap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2061625" y="4857750"/>
          <a:ext cx="152400" cy="1524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174948</xdr:colOff>
      <xdr:row>43</xdr:row>
      <xdr:rowOff>126352</xdr:rowOff>
    </xdr:from>
    <xdr:to>
      <xdr:col>5</xdr:col>
      <xdr:colOff>239808</xdr:colOff>
      <xdr:row>49</xdr:row>
      <xdr:rowOff>980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8" y="7308980"/>
          <a:ext cx="2643673" cy="856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modelling-2050-electricity-system-analysis" TargetMode="External"/><Relationship Id="rId2" Type="http://schemas.openxmlformats.org/officeDocument/2006/relationships/hyperlink" Target="mailto:info@dorset-cpre.org.uk" TargetMode="External"/><Relationship Id="rId1" Type="http://schemas.openxmlformats.org/officeDocument/2006/relationships/hyperlink" Target="http://www.dorset-cpre.org.uk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229"/>
  <sheetViews>
    <sheetView showGridLines="0" tabSelected="1" showWhiteSpace="0" topLeftCell="AJ10" zoomScalePageLayoutView="106" workbookViewId="0">
      <selection activeCell="AP22" sqref="AP22"/>
    </sheetView>
  </sheetViews>
  <sheetFormatPr defaultColWidth="7.7265625" defaultRowHeight="12.75" customHeight="1" x14ac:dyDescent="0.25"/>
  <cols>
    <col min="1" max="22" width="7.7265625" style="15"/>
    <col min="23" max="23" width="6.7265625" style="15" customWidth="1"/>
    <col min="24" max="24" width="8.7265625" style="15" customWidth="1"/>
    <col min="25" max="25" width="7.1796875" style="15" customWidth="1"/>
    <col min="26" max="28" width="7.7265625" style="15"/>
    <col min="29" max="37" width="9.1796875" style="15" customWidth="1"/>
    <col min="38" max="38" width="35.26953125" style="15" customWidth="1"/>
    <col min="39" max="41" width="7.7265625" style="15"/>
    <col min="42" max="42" width="14.453125" style="15" customWidth="1"/>
    <col min="43" max="43" width="10.26953125" style="15" customWidth="1"/>
    <col min="44" max="44" width="8.54296875" style="15" customWidth="1"/>
    <col min="45" max="45" width="10.26953125" style="15" customWidth="1"/>
    <col min="46" max="48" width="8.54296875" style="15" customWidth="1"/>
    <col min="49" max="49" width="10.1796875" style="15" customWidth="1"/>
    <col min="50" max="51" width="11.26953125" style="15" customWidth="1"/>
    <col min="52" max="52" width="6.7265625" style="15" customWidth="1"/>
    <col min="53" max="53" width="9.26953125" style="15" customWidth="1"/>
    <col min="54" max="54" width="20.453125" style="15" customWidth="1"/>
    <col min="55" max="56" width="7.7265625" style="15" customWidth="1"/>
    <col min="57" max="57" width="11.81640625" style="15" customWidth="1"/>
    <col min="58" max="58" width="4.1796875" style="15" customWidth="1"/>
    <col min="59" max="59" width="8.7265625" style="15" customWidth="1"/>
    <col min="60" max="60" width="22.26953125" style="15" customWidth="1"/>
    <col min="61" max="62" width="8.7265625" style="15" customWidth="1"/>
    <col min="63" max="63" width="6.7265625" style="15" customWidth="1"/>
    <col min="64" max="64" width="12.26953125" style="15" customWidth="1"/>
    <col min="65" max="65" width="5.7265625" style="15" customWidth="1"/>
    <col min="66" max="66" width="7.7265625" style="15" customWidth="1"/>
    <col min="67" max="68" width="8.7265625" style="15" customWidth="1"/>
    <col min="69" max="69" width="21.7265625" style="15" bestFit="1" customWidth="1"/>
    <col min="70" max="70" width="8.81640625" style="15" customWidth="1"/>
    <col min="71" max="71" width="8.26953125" style="15" customWidth="1"/>
    <col min="72" max="73" width="6.54296875" style="15" customWidth="1"/>
    <col min="74" max="74" width="5.7265625" style="15" customWidth="1"/>
    <col min="75" max="75" width="6.7265625" style="15" customWidth="1"/>
    <col min="76" max="76" width="5.7265625" style="15" customWidth="1"/>
    <col min="77" max="77" width="4.7265625" style="15" customWidth="1"/>
    <col min="78" max="78" width="8.7265625" style="15" customWidth="1"/>
    <col min="79" max="79" width="21.7265625" style="15" bestFit="1" customWidth="1"/>
    <col min="80" max="80" width="8.81640625" style="15" customWidth="1"/>
    <col min="81" max="81" width="8.26953125" style="15" customWidth="1"/>
    <col min="82" max="82" width="6.54296875" style="15" customWidth="1"/>
    <col min="83" max="83" width="8.1796875" style="15" customWidth="1"/>
    <col min="84" max="84" width="5.7265625" style="15" customWidth="1"/>
    <col min="85" max="85" width="8.54296875" style="15" customWidth="1"/>
    <col min="86" max="86" width="5.54296875" style="15" customWidth="1"/>
    <col min="87" max="88" width="5" customWidth="1"/>
    <col min="89" max="89" width="8.7265625" customWidth="1"/>
    <col min="90" max="90" width="22.26953125" style="15" customWidth="1"/>
    <col min="91" max="91" width="9.1796875" style="15" customWidth="1"/>
    <col min="92" max="92" width="8.81640625" style="15" customWidth="1"/>
    <col min="93" max="93" width="7" style="15" customWidth="1"/>
    <col min="94" max="94" width="6.7265625" style="15" customWidth="1"/>
    <col min="95" max="95" width="5.7265625" style="15" customWidth="1"/>
    <col min="96" max="96" width="5.453125" style="15" customWidth="1"/>
    <col min="97" max="97" width="7.7265625" style="15" customWidth="1"/>
    <col min="98" max="98" width="6.7265625" style="15" customWidth="1"/>
    <col min="99" max="99" width="8.7265625" style="15" customWidth="1"/>
    <col min="100" max="100" width="23" style="15" customWidth="1"/>
    <col min="101" max="101" width="8.7265625" style="15" customWidth="1"/>
    <col min="102" max="102" width="9.26953125" style="15" customWidth="1"/>
    <col min="103" max="103" width="8.1796875" style="15" customWidth="1"/>
    <col min="104" max="104" width="9.81640625" style="15" customWidth="1"/>
    <col min="105" max="105" width="7.1796875" style="15" customWidth="1"/>
    <col min="106" max="106" width="6.453125" style="15" customWidth="1"/>
    <col min="107" max="107" width="4.1796875" style="15" customWidth="1"/>
    <col min="108" max="108" width="8.7265625" style="15" customWidth="1"/>
    <col min="109" max="109" width="19" style="15" customWidth="1"/>
    <col min="110" max="110" width="8.7265625" style="15" customWidth="1"/>
    <col min="111" max="111" width="9.26953125" style="15" customWidth="1"/>
    <col min="112" max="112" width="7" style="15" customWidth="1"/>
    <col min="113" max="114" width="5.7265625" style="15" customWidth="1"/>
    <col min="115" max="115" width="12" style="15" customWidth="1"/>
    <col min="116" max="116" width="8.81640625" style="15" customWidth="1"/>
    <col min="117" max="117" width="8.7265625" style="15" customWidth="1"/>
    <col min="118" max="118" width="10.81640625" style="15" customWidth="1"/>
    <col min="119" max="119" width="11.7265625" style="15" customWidth="1"/>
    <col min="120" max="120" width="8.1796875" style="15" customWidth="1"/>
    <col min="121" max="121" width="10" style="15" customWidth="1"/>
    <col min="122" max="122" width="9.26953125" style="15" customWidth="1"/>
    <col min="123" max="123" width="7.7265625" style="136"/>
    <col min="124" max="124" width="7.7265625" style="15"/>
    <col min="125" max="125" width="5.7265625" style="15" customWidth="1"/>
    <col min="126" max="126" width="5.54296875" style="15" customWidth="1"/>
    <col min="127" max="127" width="4.7265625" style="15" customWidth="1"/>
    <col min="128" max="128" width="8.7265625" style="15" customWidth="1"/>
    <col min="129" max="129" width="15.81640625" style="15" customWidth="1"/>
    <col min="130" max="130" width="8.7265625" style="15" customWidth="1"/>
    <col min="131" max="131" width="6.7265625" customWidth="1"/>
    <col min="132" max="133" width="6.7265625" style="15" customWidth="1"/>
    <col min="134" max="134" width="5.7265625" style="15" customWidth="1"/>
    <col min="135" max="135" width="8.1796875" style="15" customWidth="1"/>
    <col min="136" max="136" width="7.1796875" style="15" customWidth="1"/>
    <col min="137" max="137" width="4.7265625" style="15" customWidth="1"/>
    <col min="138" max="138" width="6.7265625" style="15" customWidth="1"/>
    <col min="139" max="139" width="8.7265625" style="15" customWidth="1"/>
    <col min="174" max="16384" width="7.7265625" style="15"/>
  </cols>
  <sheetData>
    <row r="1" spans="1:139" ht="12.75" customHeight="1" x14ac:dyDescent="0.25">
      <c r="A1" s="191"/>
      <c r="B1" s="191"/>
      <c r="C1" s="191"/>
      <c r="D1" s="191"/>
      <c r="E1" s="191"/>
      <c r="F1" s="191"/>
      <c r="G1" s="191"/>
      <c r="H1" s="191"/>
      <c r="I1" s="191"/>
      <c r="M1" s="242" t="s">
        <v>240</v>
      </c>
      <c r="Y1" s="366" t="s">
        <v>149</v>
      </c>
      <c r="Z1" s="366"/>
      <c r="AA1" s="366"/>
      <c r="AB1" s="366"/>
      <c r="AC1" s="366"/>
      <c r="AD1" s="366"/>
      <c r="AE1" s="366"/>
      <c r="AF1" s="366"/>
      <c r="AG1" s="366"/>
      <c r="AH1" s="366"/>
      <c r="AI1" s="216" t="s">
        <v>256</v>
      </c>
      <c r="AJ1" s="216"/>
      <c r="AK1" s="216"/>
      <c r="AL1" s="216"/>
      <c r="AM1" s="216"/>
      <c r="AN1" s="216"/>
      <c r="AO1" s="216"/>
      <c r="AP1" s="216" t="s">
        <v>260</v>
      </c>
      <c r="AQ1" s="216"/>
      <c r="AR1" s="216"/>
      <c r="AS1" s="137"/>
      <c r="AT1" s="137"/>
      <c r="AU1" s="137"/>
      <c r="AV1" s="137"/>
      <c r="AW1" s="137"/>
      <c r="AX1" s="137"/>
      <c r="AY1" s="306" t="s">
        <v>9</v>
      </c>
      <c r="AZ1" s="368"/>
      <c r="BA1" s="368"/>
      <c r="BB1" s="368"/>
      <c r="BC1" s="368"/>
      <c r="BD1" s="369"/>
      <c r="BH1" s="306" t="s">
        <v>9</v>
      </c>
      <c r="BI1" s="368"/>
      <c r="BJ1" s="368"/>
      <c r="BK1" s="368"/>
      <c r="BL1" s="368"/>
      <c r="BM1" s="369"/>
      <c r="BQ1" s="342" t="s">
        <v>43</v>
      </c>
      <c r="BR1" s="343"/>
      <c r="BS1" s="343"/>
      <c r="BT1" s="343"/>
      <c r="BU1" s="343"/>
      <c r="BV1" s="344"/>
      <c r="CA1" s="342" t="s">
        <v>43</v>
      </c>
      <c r="CB1" s="343"/>
      <c r="CC1" s="343"/>
      <c r="CD1" s="343"/>
      <c r="CE1" s="343"/>
      <c r="CF1" s="344"/>
      <c r="CL1" s="342" t="s">
        <v>43</v>
      </c>
      <c r="CM1" s="343"/>
      <c r="CN1" s="343"/>
      <c r="CO1" s="343"/>
      <c r="CP1" s="343"/>
      <c r="CQ1" s="344"/>
      <c r="CR1" s="228"/>
      <c r="CV1" s="342" t="s">
        <v>43</v>
      </c>
      <c r="CW1" s="343"/>
      <c r="CX1" s="343"/>
      <c r="CY1" s="343"/>
      <c r="CZ1" s="343"/>
      <c r="DA1" s="344"/>
      <c r="DB1"/>
      <c r="DC1" s="211"/>
      <c r="DE1" s="342" t="s">
        <v>137</v>
      </c>
      <c r="DF1" s="343"/>
      <c r="DG1" s="343"/>
      <c r="DH1" s="343"/>
      <c r="DI1" s="343"/>
      <c r="DJ1" s="343"/>
      <c r="DK1" s="344"/>
      <c r="DN1" s="324" t="s">
        <v>78</v>
      </c>
      <c r="DO1" s="325"/>
      <c r="DP1" s="325"/>
      <c r="DQ1" s="325"/>
      <c r="DR1" s="325"/>
      <c r="DS1" s="325"/>
      <c r="DT1" s="325"/>
      <c r="DU1" s="326"/>
      <c r="DY1" s="324" t="s">
        <v>272</v>
      </c>
      <c r="DZ1" s="325"/>
      <c r="EA1" s="325"/>
      <c r="EB1" s="325"/>
      <c r="EC1" s="325"/>
      <c r="ED1" s="326"/>
      <c r="EF1"/>
      <c r="EG1"/>
      <c r="EH1" s="173"/>
    </row>
    <row r="2" spans="1:139" ht="12.75" customHeight="1" x14ac:dyDescent="0.25">
      <c r="A2" s="191"/>
      <c r="B2" s="192"/>
      <c r="C2" s="192"/>
      <c r="D2" s="192"/>
      <c r="E2" s="192"/>
      <c r="F2" s="192"/>
      <c r="G2" s="193"/>
      <c r="H2" s="192"/>
      <c r="I2" s="192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15" t="s">
        <v>5</v>
      </c>
      <c r="AP2" s="15" t="s">
        <v>259</v>
      </c>
      <c r="AS2" s="137"/>
      <c r="AT2" s="137"/>
      <c r="AU2" s="137"/>
      <c r="AV2" s="137"/>
      <c r="AW2" s="137"/>
      <c r="AX2" s="137"/>
      <c r="AY2" s="297" t="s">
        <v>233</v>
      </c>
      <c r="AZ2" s="298"/>
      <c r="BA2" s="298"/>
      <c r="BB2" s="298"/>
      <c r="BC2" s="298"/>
      <c r="BD2" s="299"/>
      <c r="BH2" s="370" t="s">
        <v>222</v>
      </c>
      <c r="BI2" s="371"/>
      <c r="BJ2" s="371"/>
      <c r="BK2" s="371"/>
      <c r="BL2" s="371"/>
      <c r="BM2" s="372"/>
      <c r="BQ2" s="338" t="s">
        <v>219</v>
      </c>
      <c r="BR2" s="339"/>
      <c r="BS2" s="339"/>
      <c r="BT2" s="339"/>
      <c r="BU2" s="339"/>
      <c r="BV2" s="340"/>
      <c r="CA2" s="297" t="s">
        <v>135</v>
      </c>
      <c r="CB2" s="298"/>
      <c r="CC2" s="298"/>
      <c r="CD2" s="298"/>
      <c r="CE2" s="298"/>
      <c r="CF2" s="299"/>
      <c r="CL2" s="297" t="s">
        <v>303</v>
      </c>
      <c r="CM2" s="392"/>
      <c r="CN2" s="392"/>
      <c r="CO2" s="392"/>
      <c r="CP2" s="392"/>
      <c r="CQ2" s="299"/>
      <c r="CR2" s="229"/>
      <c r="CV2" s="297" t="s">
        <v>138</v>
      </c>
      <c r="CW2" s="298"/>
      <c r="CX2" s="298"/>
      <c r="CY2" s="298"/>
      <c r="CZ2" s="298"/>
      <c r="DA2" s="299"/>
      <c r="DB2"/>
      <c r="DC2" s="212"/>
      <c r="DE2" s="353" t="s">
        <v>136</v>
      </c>
      <c r="DF2" s="354"/>
      <c r="DG2" s="354"/>
      <c r="DH2" s="354"/>
      <c r="DI2" s="354"/>
      <c r="DJ2" s="354"/>
      <c r="DK2" s="355"/>
      <c r="DN2" s="338" t="s">
        <v>88</v>
      </c>
      <c r="DO2" s="339"/>
      <c r="DP2" s="339"/>
      <c r="DQ2" s="339"/>
      <c r="DR2" s="339"/>
      <c r="DS2" s="339"/>
      <c r="DT2" s="339"/>
      <c r="DU2" s="340"/>
      <c r="DY2" s="300" t="s">
        <v>224</v>
      </c>
      <c r="DZ2" s="301"/>
      <c r="EA2" s="301"/>
      <c r="EB2" s="301"/>
      <c r="EC2" s="301"/>
      <c r="ED2" s="302"/>
      <c r="EF2"/>
      <c r="EG2"/>
      <c r="EH2" s="173"/>
    </row>
    <row r="3" spans="1:139" ht="12.75" customHeight="1" x14ac:dyDescent="0.25">
      <c r="A3" s="193"/>
      <c r="B3" s="193"/>
      <c r="C3" s="193"/>
      <c r="D3" s="193"/>
      <c r="E3" s="193"/>
      <c r="F3" s="193"/>
      <c r="G3" s="193"/>
      <c r="H3" s="193"/>
      <c r="I3" s="193"/>
      <c r="M3" s="15" t="s">
        <v>243</v>
      </c>
      <c r="Y3" s="269" t="s">
        <v>97</v>
      </c>
      <c r="Z3" s="269"/>
      <c r="AA3" s="269"/>
      <c r="AB3" s="269"/>
      <c r="AC3" s="269"/>
      <c r="AD3" s="269"/>
      <c r="AE3" s="269"/>
      <c r="AF3" s="269"/>
      <c r="AG3" s="269"/>
      <c r="AH3" s="269"/>
      <c r="AP3" s="137" t="s">
        <v>161</v>
      </c>
      <c r="AQ3" s="137"/>
      <c r="AR3" s="137"/>
      <c r="AS3" s="137"/>
      <c r="AT3" s="137"/>
      <c r="AU3" s="137"/>
      <c r="AV3" s="137"/>
      <c r="AW3" s="137"/>
      <c r="AX3" s="137"/>
      <c r="AY3" s="300"/>
      <c r="AZ3" s="301"/>
      <c r="BA3" s="301"/>
      <c r="BB3" s="301"/>
      <c r="BC3" s="301"/>
      <c r="BD3" s="302"/>
      <c r="BH3" s="280" t="s">
        <v>23</v>
      </c>
      <c r="BI3" s="328" t="s">
        <v>24</v>
      </c>
      <c r="BJ3" s="328" t="s">
        <v>25</v>
      </c>
      <c r="BK3" s="328" t="s">
        <v>26</v>
      </c>
      <c r="BL3" s="336" t="s">
        <v>27</v>
      </c>
      <c r="BM3" s="337"/>
      <c r="BQ3" s="280" t="s">
        <v>23</v>
      </c>
      <c r="BR3" s="328" t="s">
        <v>24</v>
      </c>
      <c r="BS3" s="328" t="s">
        <v>25</v>
      </c>
      <c r="BT3" s="328" t="s">
        <v>26</v>
      </c>
      <c r="BU3" s="336" t="s">
        <v>27</v>
      </c>
      <c r="BV3" s="337"/>
      <c r="CA3" s="348" t="s">
        <v>216</v>
      </c>
      <c r="CB3" s="349"/>
      <c r="CC3" s="349"/>
      <c r="CD3" s="349"/>
      <c r="CE3" s="349"/>
      <c r="CF3" s="350"/>
      <c r="CL3" s="348" t="s">
        <v>223</v>
      </c>
      <c r="CM3" s="349"/>
      <c r="CN3" s="349"/>
      <c r="CO3" s="349"/>
      <c r="CP3" s="349"/>
      <c r="CQ3" s="350"/>
      <c r="CR3" s="229"/>
      <c r="CV3" s="348" t="s">
        <v>53</v>
      </c>
      <c r="CW3" s="349"/>
      <c r="CX3" s="349"/>
      <c r="CY3" s="349"/>
      <c r="CZ3" s="349"/>
      <c r="DA3" s="350"/>
      <c r="DB3"/>
      <c r="DC3" s="212"/>
      <c r="DE3" s="280" t="s">
        <v>23</v>
      </c>
      <c r="DF3" s="328" t="s">
        <v>24</v>
      </c>
      <c r="DG3" s="356" t="s">
        <v>25</v>
      </c>
      <c r="DH3" s="328" t="s">
        <v>26</v>
      </c>
      <c r="DI3" s="336" t="s">
        <v>27</v>
      </c>
      <c r="DJ3" s="337"/>
      <c r="DK3" s="280" t="s">
        <v>79</v>
      </c>
      <c r="DN3" s="280" t="s">
        <v>23</v>
      </c>
      <c r="DO3" s="328" t="s">
        <v>89</v>
      </c>
      <c r="DP3" s="280" t="s">
        <v>79</v>
      </c>
      <c r="DQ3" s="328" t="s">
        <v>24</v>
      </c>
      <c r="DR3" s="271" t="s">
        <v>25</v>
      </c>
      <c r="DS3" s="271" t="s">
        <v>26</v>
      </c>
      <c r="DT3" s="336" t="s">
        <v>27</v>
      </c>
      <c r="DU3" s="337"/>
      <c r="DY3" s="280" t="s">
        <v>23</v>
      </c>
      <c r="DZ3" s="328" t="s">
        <v>24</v>
      </c>
      <c r="EA3" s="271" t="s">
        <v>25</v>
      </c>
      <c r="EB3" s="271" t="s">
        <v>26</v>
      </c>
      <c r="EC3" s="331" t="s">
        <v>27</v>
      </c>
      <c r="ED3" s="332"/>
    </row>
    <row r="4" spans="1:139" ht="12.75" customHeight="1" x14ac:dyDescent="0.25">
      <c r="A4" s="192"/>
      <c r="B4" s="192"/>
      <c r="C4" s="192"/>
      <c r="D4" s="192"/>
      <c r="E4" s="192"/>
      <c r="F4" s="192"/>
      <c r="G4" s="193"/>
      <c r="H4" s="192"/>
      <c r="I4" s="192"/>
      <c r="M4" s="15" t="s">
        <v>244</v>
      </c>
      <c r="Y4" s="269" t="s">
        <v>98</v>
      </c>
      <c r="Z4" s="269"/>
      <c r="AA4" s="269"/>
      <c r="AB4" s="269"/>
      <c r="AC4" s="269"/>
      <c r="AD4" s="269"/>
      <c r="AE4" s="269"/>
      <c r="AF4" s="269"/>
      <c r="AG4" s="269"/>
      <c r="AH4" s="269"/>
      <c r="AI4" s="15" t="s">
        <v>194</v>
      </c>
      <c r="AP4" s="351"/>
      <c r="AQ4" s="351"/>
      <c r="AR4" s="351"/>
      <c r="AS4" s="351"/>
      <c r="AT4" s="351"/>
      <c r="AU4" s="351"/>
      <c r="AV4" s="351"/>
      <c r="AW4" s="351"/>
      <c r="AX4" s="351"/>
      <c r="AY4" s="271" t="s">
        <v>10</v>
      </c>
      <c r="AZ4" s="271" t="s">
        <v>11</v>
      </c>
      <c r="BA4" s="271" t="s">
        <v>24</v>
      </c>
      <c r="BB4" s="271" t="s">
        <v>290</v>
      </c>
      <c r="BC4" s="274" t="s">
        <v>13</v>
      </c>
      <c r="BD4" s="275"/>
      <c r="BH4" s="327"/>
      <c r="BI4" s="329"/>
      <c r="BJ4" s="329"/>
      <c r="BK4" s="329"/>
      <c r="BL4" s="328" t="s">
        <v>28</v>
      </c>
      <c r="BM4" s="271" t="s">
        <v>29</v>
      </c>
      <c r="BQ4" s="327"/>
      <c r="BR4" s="329"/>
      <c r="BS4" s="329"/>
      <c r="BT4" s="329"/>
      <c r="BU4" s="328" t="s">
        <v>28</v>
      </c>
      <c r="BV4" s="271" t="s">
        <v>29</v>
      </c>
      <c r="CA4" s="280" t="s">
        <v>23</v>
      </c>
      <c r="CB4" s="328" t="s">
        <v>24</v>
      </c>
      <c r="CC4" s="328" t="s">
        <v>25</v>
      </c>
      <c r="CD4" s="328" t="s">
        <v>26</v>
      </c>
      <c r="CE4" s="336" t="s">
        <v>27</v>
      </c>
      <c r="CF4" s="337"/>
      <c r="CH4"/>
      <c r="CK4" s="95"/>
      <c r="CL4" s="280" t="s">
        <v>23</v>
      </c>
      <c r="CM4" s="328" t="s">
        <v>24</v>
      </c>
      <c r="CN4" s="328" t="s">
        <v>25</v>
      </c>
      <c r="CO4" s="328" t="s">
        <v>26</v>
      </c>
      <c r="CP4" s="336" t="s">
        <v>27</v>
      </c>
      <c r="CQ4" s="337"/>
      <c r="CV4" s="280" t="s">
        <v>23</v>
      </c>
      <c r="CW4" s="328" t="s">
        <v>24</v>
      </c>
      <c r="CX4" s="328" t="s">
        <v>25</v>
      </c>
      <c r="CY4" s="328" t="s">
        <v>26</v>
      </c>
      <c r="CZ4" s="336" t="s">
        <v>27</v>
      </c>
      <c r="DA4" s="337"/>
      <c r="DB4" s="95"/>
      <c r="DE4" s="327"/>
      <c r="DF4" s="329"/>
      <c r="DG4" s="357"/>
      <c r="DH4" s="329"/>
      <c r="DI4" s="328" t="s">
        <v>28</v>
      </c>
      <c r="DJ4" s="271" t="s">
        <v>15</v>
      </c>
      <c r="DK4" s="327"/>
      <c r="DN4" s="327"/>
      <c r="DO4" s="329"/>
      <c r="DP4" s="327"/>
      <c r="DQ4" s="329"/>
      <c r="DR4" s="272"/>
      <c r="DS4" s="272"/>
      <c r="DT4" s="328" t="s">
        <v>28</v>
      </c>
      <c r="DU4" s="271" t="s">
        <v>15</v>
      </c>
      <c r="DY4" s="327"/>
      <c r="DZ4" s="329"/>
      <c r="EA4" s="272"/>
      <c r="EB4" s="272"/>
      <c r="EC4" s="328" t="s">
        <v>28</v>
      </c>
      <c r="ED4" s="271" t="s">
        <v>15</v>
      </c>
    </row>
    <row r="5" spans="1:139" ht="12.75" customHeight="1" x14ac:dyDescent="0.25">
      <c r="A5" s="194"/>
      <c r="B5" s="194"/>
      <c r="C5" s="194"/>
      <c r="D5" s="194"/>
      <c r="E5" s="194"/>
      <c r="F5" s="194"/>
      <c r="G5" s="195"/>
      <c r="H5" s="196"/>
      <c r="I5" s="194"/>
      <c r="M5" s="15" t="s">
        <v>250</v>
      </c>
      <c r="Y5" s="269" t="s">
        <v>99</v>
      </c>
      <c r="Z5" s="269"/>
      <c r="AA5" s="269"/>
      <c r="AB5" s="269"/>
      <c r="AC5" s="269"/>
      <c r="AD5" s="269"/>
      <c r="AE5" s="269"/>
      <c r="AF5" s="269"/>
      <c r="AG5" s="269"/>
      <c r="AH5" s="269"/>
      <c r="AI5" s="15" t="s">
        <v>195</v>
      </c>
      <c r="AP5" s="269" t="s">
        <v>203</v>
      </c>
      <c r="AQ5" s="269"/>
      <c r="AR5" s="269"/>
      <c r="AS5" s="269"/>
      <c r="AT5" s="269"/>
      <c r="AU5" s="269"/>
      <c r="AV5" s="269"/>
      <c r="AW5" s="269"/>
      <c r="AX5" s="269"/>
      <c r="AY5" s="272"/>
      <c r="AZ5" s="272"/>
      <c r="BA5" s="272"/>
      <c r="BB5" s="272"/>
      <c r="BC5" s="276"/>
      <c r="BD5" s="277"/>
      <c r="BH5" s="281"/>
      <c r="BI5" s="330"/>
      <c r="BJ5" s="330"/>
      <c r="BK5" s="330"/>
      <c r="BL5" s="330"/>
      <c r="BM5" s="273"/>
      <c r="BQ5" s="281"/>
      <c r="BR5" s="330"/>
      <c r="BS5" s="330"/>
      <c r="BT5" s="330"/>
      <c r="BU5" s="330"/>
      <c r="BV5" s="273"/>
      <c r="CA5" s="327"/>
      <c r="CB5" s="329"/>
      <c r="CC5" s="329"/>
      <c r="CD5" s="329"/>
      <c r="CE5" s="328" t="s">
        <v>28</v>
      </c>
      <c r="CF5" s="271" t="s">
        <v>29</v>
      </c>
      <c r="CH5"/>
      <c r="CK5" s="210"/>
      <c r="CL5" s="327"/>
      <c r="CM5" s="329"/>
      <c r="CN5" s="329"/>
      <c r="CO5" s="329"/>
      <c r="CP5" s="328" t="s">
        <v>28</v>
      </c>
      <c r="CQ5" s="271" t="s">
        <v>29</v>
      </c>
      <c r="CV5" s="327"/>
      <c r="CW5" s="329"/>
      <c r="CX5" s="329"/>
      <c r="CY5" s="329"/>
      <c r="CZ5" s="328" t="s">
        <v>28</v>
      </c>
      <c r="DA5" s="271" t="s">
        <v>15</v>
      </c>
      <c r="DB5" s="210"/>
      <c r="DE5" s="281"/>
      <c r="DF5" s="330"/>
      <c r="DG5" s="358"/>
      <c r="DH5" s="330"/>
      <c r="DI5" s="330"/>
      <c r="DJ5" s="273"/>
      <c r="DK5" s="281"/>
      <c r="DN5" s="281"/>
      <c r="DO5" s="330"/>
      <c r="DP5" s="281"/>
      <c r="DQ5" s="330"/>
      <c r="DR5" s="273"/>
      <c r="DS5" s="273"/>
      <c r="DT5" s="330"/>
      <c r="DU5" s="273"/>
      <c r="DY5" s="281"/>
      <c r="DZ5" s="330"/>
      <c r="EA5" s="273"/>
      <c r="EB5" s="273"/>
      <c r="EC5" s="330"/>
      <c r="ED5" s="273"/>
    </row>
    <row r="6" spans="1:139" ht="12.75" customHeight="1" x14ac:dyDescent="0.25">
      <c r="A6" s="192"/>
      <c r="B6" s="192"/>
      <c r="C6" s="192"/>
      <c r="D6" s="192"/>
      <c r="E6" s="192"/>
      <c r="F6" s="192"/>
      <c r="G6" s="195"/>
      <c r="H6" s="197"/>
      <c r="I6" s="192"/>
      <c r="M6" s="189" t="s">
        <v>251</v>
      </c>
      <c r="N6" s="189"/>
      <c r="O6" s="189"/>
      <c r="P6" s="189"/>
      <c r="Q6" s="189"/>
      <c r="R6" s="189"/>
      <c r="S6" s="189"/>
      <c r="T6" s="189"/>
      <c r="U6" s="189"/>
      <c r="V6" s="189"/>
      <c r="W6" s="189"/>
      <c r="Y6" s="367" t="s">
        <v>100</v>
      </c>
      <c r="Z6" s="367"/>
      <c r="AA6" s="367"/>
      <c r="AB6" s="367"/>
      <c r="AC6" s="367"/>
      <c r="AD6" s="367"/>
      <c r="AE6" s="367"/>
      <c r="AF6" s="367"/>
      <c r="AG6" s="367"/>
      <c r="AH6" s="367"/>
      <c r="AP6" s="269" t="s">
        <v>202</v>
      </c>
      <c r="AQ6" s="269"/>
      <c r="AR6" s="269"/>
      <c r="AS6" s="269"/>
      <c r="AT6" s="269"/>
      <c r="AU6" s="269"/>
      <c r="AV6" s="269"/>
      <c r="AW6" s="269"/>
      <c r="AX6" s="269"/>
      <c r="AY6" s="272"/>
      <c r="AZ6" s="272"/>
      <c r="BA6" s="272"/>
      <c r="BB6" s="272"/>
      <c r="BC6" s="278"/>
      <c r="BD6" s="279"/>
      <c r="BH6" s="13" t="s">
        <v>32</v>
      </c>
      <c r="BI6" s="1">
        <v>2</v>
      </c>
      <c r="BJ6" s="17">
        <v>165</v>
      </c>
      <c r="BK6" s="36">
        <v>0.35518</v>
      </c>
      <c r="BL6" s="2">
        <v>0.51337717199999999</v>
      </c>
      <c r="BM6" s="18"/>
      <c r="BQ6" s="11" t="s">
        <v>31</v>
      </c>
      <c r="BR6" s="8">
        <v>23</v>
      </c>
      <c r="BS6" s="47">
        <v>9188.2000000000007</v>
      </c>
      <c r="BT6" s="48">
        <v>0.3888599903593658</v>
      </c>
      <c r="BU6" s="14">
        <v>31.298808663558546</v>
      </c>
      <c r="BV6" s="1"/>
      <c r="CA6" s="281"/>
      <c r="CB6" s="330"/>
      <c r="CC6" s="330"/>
      <c r="CD6" s="330"/>
      <c r="CE6" s="330"/>
      <c r="CF6" s="273"/>
      <c r="CH6"/>
      <c r="CK6" s="210"/>
      <c r="CL6" s="281"/>
      <c r="CM6" s="330"/>
      <c r="CN6" s="330"/>
      <c r="CO6" s="330"/>
      <c r="CP6" s="330"/>
      <c r="CQ6" s="273"/>
      <c r="CV6" s="281"/>
      <c r="CW6" s="330"/>
      <c r="CX6" s="330"/>
      <c r="CY6" s="330"/>
      <c r="CZ6" s="330"/>
      <c r="DA6" s="273"/>
      <c r="DB6"/>
      <c r="DC6"/>
      <c r="DE6" s="359" t="s">
        <v>80</v>
      </c>
      <c r="DF6" s="120">
        <v>52</v>
      </c>
      <c r="DG6" s="121">
        <v>816.99999999999989</v>
      </c>
      <c r="DH6" s="122">
        <v>0.82</v>
      </c>
      <c r="DI6" s="123">
        <v>5.8686743999999988</v>
      </c>
      <c r="DJ6" s="98">
        <v>85.496022444351652</v>
      </c>
      <c r="DK6" s="99" t="s">
        <v>81</v>
      </c>
      <c r="DN6" s="271" t="s">
        <v>31</v>
      </c>
      <c r="DO6" s="280" t="s">
        <v>90</v>
      </c>
      <c r="DP6" s="104" t="s">
        <v>81</v>
      </c>
      <c r="DQ6" s="111">
        <v>30</v>
      </c>
      <c r="DR6" s="112">
        <v>22681.199999999997</v>
      </c>
      <c r="DS6" s="113">
        <v>0.39923999999999998</v>
      </c>
      <c r="DT6" s="90">
        <f>DR6*365*24*DS6/1000000</f>
        <v>79.32392244287999</v>
      </c>
      <c r="DU6" s="114">
        <f>100*DT6/101.641863</f>
        <v>78.04257035595657</v>
      </c>
      <c r="DY6" s="174" t="s">
        <v>38</v>
      </c>
      <c r="DZ6" s="168">
        <v>14</v>
      </c>
      <c r="EA6" s="171">
        <v>6.9990000000000006</v>
      </c>
      <c r="EB6" s="170">
        <v>0.61427999999999994</v>
      </c>
      <c r="EC6" s="188">
        <f>EA6*365*24*EB6/1000000</f>
        <v>3.7662268507200003E-2</v>
      </c>
      <c r="ED6" s="172">
        <f>100*EC6/0.4987016</f>
        <v>7.5520649035816207</v>
      </c>
      <c r="EH6" s="161"/>
      <c r="EI6" s="164"/>
    </row>
    <row r="7" spans="1:139" ht="12.75" customHeight="1" x14ac:dyDescent="0.25">
      <c r="A7" s="192"/>
      <c r="B7" s="192"/>
      <c r="C7" s="192"/>
      <c r="D7" s="192"/>
      <c r="E7" s="193"/>
      <c r="F7" s="192"/>
      <c r="G7" s="195"/>
      <c r="H7" s="195"/>
      <c r="I7" s="192"/>
      <c r="M7" s="189" t="s">
        <v>282</v>
      </c>
      <c r="N7" s="189"/>
      <c r="O7" s="189"/>
      <c r="P7" s="189"/>
      <c r="Q7" s="189"/>
      <c r="R7" s="189"/>
      <c r="S7" s="189"/>
      <c r="T7" s="189"/>
      <c r="U7" s="189"/>
      <c r="V7" s="189"/>
      <c r="W7" s="189"/>
      <c r="Y7" s="269" t="s">
        <v>101</v>
      </c>
      <c r="Z7" s="269"/>
      <c r="AA7" s="269"/>
      <c r="AB7" s="269"/>
      <c r="AC7" s="269"/>
      <c r="AD7" s="269"/>
      <c r="AE7" s="269"/>
      <c r="AF7" s="269"/>
      <c r="AG7" s="269"/>
      <c r="AH7" s="269"/>
      <c r="AI7" s="351" t="s">
        <v>156</v>
      </c>
      <c r="AJ7" s="351"/>
      <c r="AK7" s="351"/>
      <c r="AL7" s="351"/>
      <c r="AM7" s="351"/>
      <c r="AN7" s="351"/>
      <c r="AO7" s="351"/>
      <c r="AP7" s="269" t="s">
        <v>162</v>
      </c>
      <c r="AQ7" s="269"/>
      <c r="AR7" s="269"/>
      <c r="AS7" s="269"/>
      <c r="AT7" s="269"/>
      <c r="AU7" s="269"/>
      <c r="AV7" s="269"/>
      <c r="AW7" s="269"/>
      <c r="AX7" s="269"/>
      <c r="AY7" s="272"/>
      <c r="AZ7" s="272"/>
      <c r="BA7" s="272"/>
      <c r="BB7" s="272"/>
      <c r="BC7" s="280" t="s">
        <v>14</v>
      </c>
      <c r="BD7" s="271" t="s">
        <v>15</v>
      </c>
      <c r="BH7" s="13" t="s">
        <v>33</v>
      </c>
      <c r="BI7" s="1">
        <v>2</v>
      </c>
      <c r="BJ7" s="17">
        <v>106</v>
      </c>
      <c r="BK7" s="36">
        <v>0.36019999999999996</v>
      </c>
      <c r="BL7" s="2">
        <v>0.33446731199999996</v>
      </c>
      <c r="BM7" s="18"/>
      <c r="BQ7" s="11" t="s">
        <v>34</v>
      </c>
      <c r="BR7" s="8">
        <v>6</v>
      </c>
      <c r="BS7" s="12">
        <v>2470.4</v>
      </c>
      <c r="BT7" s="48">
        <v>0.75498348193523679</v>
      </c>
      <c r="BU7" s="14">
        <v>16.338374057449805</v>
      </c>
      <c r="BV7" s="1"/>
      <c r="CA7" s="13" t="s">
        <v>44</v>
      </c>
      <c r="CB7" s="62">
        <v>1</v>
      </c>
      <c r="CC7" s="63">
        <v>81</v>
      </c>
      <c r="CD7" s="64">
        <v>0.82000000000000006</v>
      </c>
      <c r="CE7" s="65">
        <f t="shared" ref="CE7:CE14" si="0">CC7*365*24*CD7/1000000</f>
        <v>0.58183920000000011</v>
      </c>
      <c r="CF7" s="66"/>
      <c r="CL7" s="13" t="s">
        <v>44</v>
      </c>
      <c r="CM7" s="62">
        <v>1</v>
      </c>
      <c r="CN7" s="63">
        <v>81</v>
      </c>
      <c r="CO7" s="64">
        <v>0.82000000000000006</v>
      </c>
      <c r="CP7" s="182">
        <v>0.58183920000000011</v>
      </c>
      <c r="CQ7" s="18"/>
      <c r="CV7" s="86" t="s">
        <v>54</v>
      </c>
      <c r="CW7" s="87">
        <v>869734</v>
      </c>
      <c r="CX7" s="130">
        <v>43233.162351999265</v>
      </c>
      <c r="CY7" s="36">
        <f>CZ7*1000000/365/24/CX7</f>
        <v>0.30401667959595152</v>
      </c>
      <c r="CZ7" s="138">
        <v>115.13795760818262</v>
      </c>
      <c r="DA7" s="5">
        <f>100*CZ7/236.6198</f>
        <v>48.6594771900672</v>
      </c>
      <c r="DC7"/>
      <c r="DD7"/>
      <c r="DE7" s="360"/>
      <c r="DF7" s="120">
        <v>9</v>
      </c>
      <c r="DG7" s="121">
        <v>91.6</v>
      </c>
      <c r="DH7" s="122">
        <v>0.82</v>
      </c>
      <c r="DI7" s="123">
        <v>0.65798111999999997</v>
      </c>
      <c r="DJ7" s="124">
        <v>9.5856005580203334</v>
      </c>
      <c r="DK7" s="125" t="s">
        <v>82</v>
      </c>
      <c r="DN7" s="272"/>
      <c r="DO7" s="327"/>
      <c r="DP7" s="104" t="s">
        <v>82</v>
      </c>
      <c r="DQ7" s="1">
        <v>8</v>
      </c>
      <c r="DR7" s="115">
        <v>4157</v>
      </c>
      <c r="DS7" s="36">
        <v>0.39923999999999998</v>
      </c>
      <c r="DT7" s="90">
        <f t="shared" ref="DT7:DT17" si="1">DR7*365*24*DS7/1000000</f>
        <v>14.538452356799999</v>
      </c>
      <c r="DU7" s="114">
        <f t="shared" ref="DU7:DU17" si="2">100*DT7/101.641863</f>
        <v>14.303606730230829</v>
      </c>
      <c r="DY7" s="13" t="s">
        <v>34</v>
      </c>
      <c r="DZ7" s="169">
        <v>1</v>
      </c>
      <c r="EA7" s="90">
        <v>3.2</v>
      </c>
      <c r="EB7" s="170">
        <v>0.7478800000000001</v>
      </c>
      <c r="EC7" s="188">
        <f t="shared" ref="EC7:EC11" si="3">EA7*365*24*EB7/1000000</f>
        <v>2.0964572160000004E-2</v>
      </c>
      <c r="ED7" s="172">
        <f t="shared" ref="ED7:ED12" si="4">100*EC7/0.4987016</f>
        <v>4.2038309401854743</v>
      </c>
      <c r="EH7" s="162"/>
      <c r="EI7" s="165"/>
    </row>
    <row r="8" spans="1:139" ht="12.75" customHeight="1" x14ac:dyDescent="0.25">
      <c r="A8" s="192"/>
      <c r="B8" s="192"/>
      <c r="C8" s="192"/>
      <c r="D8" s="192"/>
      <c r="E8" s="192"/>
      <c r="F8" s="192"/>
      <c r="G8" s="195"/>
      <c r="H8" s="195"/>
      <c r="I8" s="192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351" t="s">
        <v>6</v>
      </c>
      <c r="AJ8" s="351"/>
      <c r="AK8" s="351"/>
      <c r="AL8" s="351"/>
      <c r="AM8" s="351"/>
      <c r="AN8" s="351"/>
      <c r="AO8" s="351"/>
      <c r="AP8" s="351"/>
      <c r="AQ8" s="351"/>
      <c r="AR8" s="351"/>
      <c r="AS8" s="351"/>
      <c r="AT8" s="351"/>
      <c r="AU8" s="351"/>
      <c r="AV8" s="351"/>
      <c r="AW8" s="351"/>
      <c r="AX8" s="351"/>
      <c r="AY8" s="273"/>
      <c r="AZ8" s="273"/>
      <c r="BA8" s="273"/>
      <c r="BB8" s="273"/>
      <c r="BC8" s="281"/>
      <c r="BD8" s="273"/>
      <c r="BH8" s="13" t="s">
        <v>34</v>
      </c>
      <c r="BI8" s="1">
        <v>1</v>
      </c>
      <c r="BJ8" s="17">
        <v>50.4</v>
      </c>
      <c r="BK8" s="36">
        <v>0.7478800000000001</v>
      </c>
      <c r="BL8" s="2">
        <v>0.33019201152000005</v>
      </c>
      <c r="BM8" s="21"/>
      <c r="BQ8" s="11" t="s">
        <v>30</v>
      </c>
      <c r="BR8" s="8">
        <v>52</v>
      </c>
      <c r="BS8" s="47">
        <v>5203.0999999999995</v>
      </c>
      <c r="BT8" s="38">
        <v>0.26617078698086305</v>
      </c>
      <c r="BU8" s="14">
        <v>12.131839822443526</v>
      </c>
      <c r="BV8" s="1"/>
      <c r="CA8" s="13" t="s">
        <v>32</v>
      </c>
      <c r="CB8" s="62">
        <v>2</v>
      </c>
      <c r="CC8" s="63">
        <v>165</v>
      </c>
      <c r="CD8" s="64">
        <v>0.35518</v>
      </c>
      <c r="CE8" s="65">
        <f t="shared" si="0"/>
        <v>0.51337717199999999</v>
      </c>
      <c r="CF8" s="66"/>
      <c r="CL8" s="13" t="s">
        <v>32</v>
      </c>
      <c r="CM8" s="70">
        <v>3</v>
      </c>
      <c r="CN8" s="27">
        <v>365</v>
      </c>
      <c r="CO8" s="36">
        <v>0.35518</v>
      </c>
      <c r="CP8" s="145">
        <v>1.1356525319999999</v>
      </c>
      <c r="CQ8" s="18"/>
      <c r="CV8" s="88" t="s">
        <v>55</v>
      </c>
      <c r="CW8" s="89">
        <v>131</v>
      </c>
      <c r="CX8" s="2">
        <v>10079.892749999999</v>
      </c>
      <c r="CY8" s="36">
        <f>CZ8*1000000/365/24/CX8</f>
        <v>0.39246490167764975</v>
      </c>
      <c r="CZ8" s="90">
        <v>34.654596065358035</v>
      </c>
      <c r="DA8" s="5">
        <f t="shared" ref="DA8:DA11" si="5">100*CZ8/236.6198</f>
        <v>14.645687328515212</v>
      </c>
      <c r="DC8"/>
      <c r="DD8"/>
      <c r="DE8" s="360"/>
      <c r="DF8" s="120">
        <v>3</v>
      </c>
      <c r="DG8" s="121">
        <v>38</v>
      </c>
      <c r="DH8" s="122">
        <v>0.82</v>
      </c>
      <c r="DI8" s="123">
        <v>0.27296159999999997</v>
      </c>
      <c r="DJ8" s="124">
        <v>3.9765591834582161</v>
      </c>
      <c r="DK8" s="125" t="s">
        <v>83</v>
      </c>
      <c r="DN8" s="272"/>
      <c r="DO8" s="327"/>
      <c r="DP8" s="104" t="s">
        <v>83</v>
      </c>
      <c r="DQ8" s="1">
        <v>2</v>
      </c>
      <c r="DR8" s="115">
        <v>876</v>
      </c>
      <c r="DS8" s="36">
        <v>0.39923999999999998</v>
      </c>
      <c r="DT8" s="90">
        <f t="shared" si="1"/>
        <v>3.0636719424000001</v>
      </c>
      <c r="DU8" s="114">
        <f t="shared" si="2"/>
        <v>3.0141831839504949</v>
      </c>
      <c r="DY8" s="174" t="s">
        <v>37</v>
      </c>
      <c r="DZ8" s="168">
        <v>11</v>
      </c>
      <c r="EA8" s="171">
        <v>0.13768</v>
      </c>
      <c r="EB8" s="170">
        <v>0.38167999999999991</v>
      </c>
      <c r="EC8" s="188">
        <f t="shared" si="3"/>
        <v>4.6033539302399993E-4</v>
      </c>
      <c r="ED8" s="172">
        <f t="shared" si="4"/>
        <v>9.2306780853319878E-2</v>
      </c>
      <c r="EH8" s="161"/>
      <c r="EI8" s="164"/>
    </row>
    <row r="9" spans="1:139" ht="12.75" customHeight="1" x14ac:dyDescent="0.25">
      <c r="A9" s="192"/>
      <c r="B9" s="192"/>
      <c r="C9" s="192"/>
      <c r="D9" s="192"/>
      <c r="E9" s="192"/>
      <c r="F9" s="192"/>
      <c r="G9" s="195"/>
      <c r="H9" s="195"/>
      <c r="I9" s="192"/>
      <c r="M9" s="189" t="s">
        <v>225</v>
      </c>
      <c r="N9" s="189"/>
      <c r="O9" s="189"/>
      <c r="P9" s="189"/>
      <c r="Q9" s="189"/>
      <c r="R9" s="189"/>
      <c r="S9" s="189"/>
      <c r="T9" s="189"/>
      <c r="U9" s="189"/>
      <c r="V9" s="189"/>
      <c r="W9" s="189"/>
      <c r="Y9" s="269" t="s">
        <v>265</v>
      </c>
      <c r="Z9" s="269"/>
      <c r="AA9" s="269"/>
      <c r="AB9" s="269"/>
      <c r="AC9" s="269"/>
      <c r="AD9" s="269"/>
      <c r="AE9" s="269"/>
      <c r="AF9" s="269"/>
      <c r="AG9" s="269"/>
      <c r="AH9" s="269"/>
      <c r="AI9" s="351"/>
      <c r="AJ9" s="351"/>
      <c r="AK9" s="351"/>
      <c r="AL9" s="351"/>
      <c r="AM9" s="351"/>
      <c r="AN9" s="351"/>
      <c r="AO9" s="351"/>
      <c r="AP9" s="137" t="s">
        <v>163</v>
      </c>
      <c r="AQ9" s="137"/>
      <c r="AR9" s="137"/>
      <c r="AS9" s="137"/>
      <c r="AT9" s="137"/>
      <c r="AU9" s="137"/>
      <c r="AV9" s="137"/>
      <c r="AW9" s="137"/>
      <c r="AX9" s="137"/>
      <c r="AY9" s="282" t="s">
        <v>22</v>
      </c>
      <c r="AZ9" s="1">
        <v>2</v>
      </c>
      <c r="BA9" s="3">
        <v>23</v>
      </c>
      <c r="BB9" s="245" t="s">
        <v>16</v>
      </c>
      <c r="BC9" s="56">
        <v>6.6262220654400004</v>
      </c>
      <c r="BD9" s="5">
        <v>31.42327202854506</v>
      </c>
      <c r="BH9" s="31" t="s">
        <v>35</v>
      </c>
      <c r="BI9" s="33">
        <v>23</v>
      </c>
      <c r="BJ9" s="34">
        <v>2372.3999999999996</v>
      </c>
      <c r="BK9" s="37">
        <v>0.31884085483055141</v>
      </c>
      <c r="BL9" s="35">
        <v>6.6262220654400013</v>
      </c>
      <c r="BM9" s="46">
        <v>31.42327202854506</v>
      </c>
      <c r="BQ9" s="11" t="s">
        <v>33</v>
      </c>
      <c r="BR9" s="8">
        <v>6</v>
      </c>
      <c r="BS9" s="47">
        <v>416</v>
      </c>
      <c r="BT9" s="48">
        <v>0.35701900514873164</v>
      </c>
      <c r="BU9" s="14">
        <v>1.3010343778028017</v>
      </c>
      <c r="BV9" s="1"/>
      <c r="CA9" s="13" t="s">
        <v>34</v>
      </c>
      <c r="CB9" s="62">
        <v>8</v>
      </c>
      <c r="CC9" s="63">
        <v>3068.4</v>
      </c>
      <c r="CD9" s="64">
        <v>0.74788000000000021</v>
      </c>
      <c r="CE9" s="65">
        <f t="shared" si="0"/>
        <v>20.102404129920007</v>
      </c>
      <c r="CF9" s="66"/>
      <c r="CL9" s="13" t="s">
        <v>34</v>
      </c>
      <c r="CM9" s="70">
        <v>9</v>
      </c>
      <c r="CN9" s="27">
        <v>3328.4</v>
      </c>
      <c r="CO9" s="71">
        <v>0.7478800000000001</v>
      </c>
      <c r="CP9" s="145">
        <v>21.805775617920006</v>
      </c>
      <c r="CQ9" s="18"/>
      <c r="CV9" s="88" t="s">
        <v>56</v>
      </c>
      <c r="CW9" s="89">
        <v>809</v>
      </c>
      <c r="CX9" s="2">
        <v>21706.995449999991</v>
      </c>
      <c r="CY9" s="36">
        <f>CZ9*1000000/365/24/CX9</f>
        <v>0.31269548831242494</v>
      </c>
      <c r="CZ9" s="90">
        <v>59.46007278821201</v>
      </c>
      <c r="DA9" s="5">
        <f t="shared" si="5"/>
        <v>25.128950657642349</v>
      </c>
      <c r="DC9"/>
      <c r="DD9"/>
      <c r="DE9" s="361"/>
      <c r="DF9" s="120">
        <v>2</v>
      </c>
      <c r="DG9" s="121">
        <v>9</v>
      </c>
      <c r="DH9" s="122">
        <v>0.82</v>
      </c>
      <c r="DI9" s="123">
        <v>6.4648799999999992E-2</v>
      </c>
      <c r="DJ9" s="124">
        <v>0.94181664871378812</v>
      </c>
      <c r="DK9" s="125" t="s">
        <v>84</v>
      </c>
      <c r="DN9" s="272"/>
      <c r="DO9" s="281"/>
      <c r="DP9" s="128" t="s">
        <v>91</v>
      </c>
      <c r="DQ9" s="117">
        <v>40</v>
      </c>
      <c r="DR9" s="93">
        <f>SUM(DR6:DR8)</f>
        <v>27714.199999999997</v>
      </c>
      <c r="DS9" s="83">
        <v>0.39923999999999998</v>
      </c>
      <c r="DT9" s="84">
        <f t="shared" si="1"/>
        <v>96.926046742079976</v>
      </c>
      <c r="DU9" s="46">
        <f t="shared" si="2"/>
        <v>95.360360270137889</v>
      </c>
      <c r="DY9" s="13" t="s">
        <v>36</v>
      </c>
      <c r="DZ9" s="168">
        <v>2</v>
      </c>
      <c r="EA9" s="90">
        <v>9</v>
      </c>
      <c r="EB9" s="170">
        <v>0.43041999999999997</v>
      </c>
      <c r="EC9" s="188">
        <f t="shared" si="3"/>
        <v>3.3934312799999998E-2</v>
      </c>
      <c r="ED9" s="172">
        <f t="shared" si="4"/>
        <v>6.804532570178238</v>
      </c>
      <c r="EH9" s="162"/>
      <c r="EI9" s="165"/>
    </row>
    <row r="10" spans="1:139" ht="12.75" customHeight="1" x14ac:dyDescent="0.25">
      <c r="A10" s="192"/>
      <c r="B10" s="192"/>
      <c r="C10" s="192"/>
      <c r="D10" s="192"/>
      <c r="E10" s="192"/>
      <c r="F10" s="192"/>
      <c r="G10" s="195"/>
      <c r="H10" s="192"/>
      <c r="I10" s="192"/>
      <c r="M10" s="189" t="s">
        <v>226</v>
      </c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Y10" s="269" t="s">
        <v>187</v>
      </c>
      <c r="Z10" s="269"/>
      <c r="AA10" s="269"/>
      <c r="AB10" s="269"/>
      <c r="AC10" s="269"/>
      <c r="AD10" s="269"/>
      <c r="AE10" s="269"/>
      <c r="AF10" s="269"/>
      <c r="AG10" s="269"/>
      <c r="AH10" s="269"/>
      <c r="AI10" s="351" t="s">
        <v>175</v>
      </c>
      <c r="AJ10" s="351"/>
      <c r="AK10" s="351"/>
      <c r="AL10" s="351"/>
      <c r="AM10" s="351"/>
      <c r="AN10" s="351"/>
      <c r="AO10" s="351"/>
      <c r="AP10" s="15" t="s">
        <v>164</v>
      </c>
      <c r="AY10" s="283"/>
      <c r="AZ10" s="285">
        <v>3</v>
      </c>
      <c r="BA10" s="285">
        <v>57</v>
      </c>
      <c r="BB10" s="271" t="s">
        <v>17</v>
      </c>
      <c r="BC10" s="309">
        <v>25.91876006064</v>
      </c>
      <c r="BD10" s="294">
        <v>46.378611124502697</v>
      </c>
      <c r="BH10" s="11" t="s">
        <v>30</v>
      </c>
      <c r="BI10" s="10">
        <v>1750</v>
      </c>
      <c r="BJ10" s="12">
        <v>2920.7010220000011</v>
      </c>
      <c r="BK10" s="38">
        <v>0.26435576193957594</v>
      </c>
      <c r="BL10" s="14">
        <v>6.7636323020401328</v>
      </c>
      <c r="BM10" s="24"/>
      <c r="BQ10" s="11" t="s">
        <v>32</v>
      </c>
      <c r="BR10" s="8">
        <v>2</v>
      </c>
      <c r="BS10" s="47">
        <v>165</v>
      </c>
      <c r="BT10" s="38">
        <v>0.35142236302906082</v>
      </c>
      <c r="BU10" s="14">
        <v>0.5079458835222046</v>
      </c>
      <c r="BV10" s="1"/>
      <c r="CA10" s="13" t="s">
        <v>39</v>
      </c>
      <c r="CB10" s="62">
        <v>2</v>
      </c>
      <c r="CC10" s="63">
        <v>419.8</v>
      </c>
      <c r="CD10" s="64">
        <v>0.11019999999999998</v>
      </c>
      <c r="CE10" s="65">
        <f t="shared" si="0"/>
        <v>0.40525476959999995</v>
      </c>
      <c r="CF10" s="66"/>
      <c r="CL10" s="69" t="s">
        <v>39</v>
      </c>
      <c r="CM10" s="70">
        <v>3</v>
      </c>
      <c r="CN10" s="27">
        <v>481.8</v>
      </c>
      <c r="CO10" s="36">
        <v>0.11019999999999999</v>
      </c>
      <c r="CP10" s="145">
        <v>0.46510659359999995</v>
      </c>
      <c r="CQ10" s="18"/>
      <c r="CV10" s="88" t="s">
        <v>57</v>
      </c>
      <c r="CW10" s="89">
        <v>390</v>
      </c>
      <c r="CX10" s="2">
        <v>13475.228915</v>
      </c>
      <c r="CY10" s="36">
        <v>0.23184111950546712</v>
      </c>
      <c r="CZ10" s="90">
        <v>27.367222497475318</v>
      </c>
      <c r="DA10" s="5">
        <f t="shared" si="5"/>
        <v>11.565905514870403</v>
      </c>
      <c r="DC10"/>
      <c r="DD10"/>
      <c r="DE10" s="271" t="s">
        <v>38</v>
      </c>
      <c r="DF10" s="101">
        <v>146</v>
      </c>
      <c r="DG10" s="102">
        <v>355.09999999999997</v>
      </c>
      <c r="DH10" s="103">
        <v>0.61427999999999994</v>
      </c>
      <c r="DI10" s="79">
        <v>1.9108260532799997</v>
      </c>
      <c r="DJ10" s="98">
        <v>83.9281627801154</v>
      </c>
      <c r="DK10" s="99" t="s">
        <v>81</v>
      </c>
      <c r="DN10" s="272"/>
      <c r="DO10" s="280" t="s">
        <v>92</v>
      </c>
      <c r="DP10" s="104" t="s">
        <v>81</v>
      </c>
      <c r="DQ10" s="139">
        <v>12</v>
      </c>
      <c r="DR10" s="2">
        <v>794.3</v>
      </c>
      <c r="DS10" s="36">
        <v>0.39923999999999998</v>
      </c>
      <c r="DT10" s="90">
        <f t="shared" si="1"/>
        <v>2.7779390683200003</v>
      </c>
      <c r="DU10" s="114">
        <f t="shared" si="2"/>
        <v>2.7330658710181255</v>
      </c>
      <c r="DY10" s="174" t="s">
        <v>129</v>
      </c>
      <c r="DZ10" s="168">
        <v>8601</v>
      </c>
      <c r="EA10" s="171">
        <v>384.10262900001976</v>
      </c>
      <c r="EB10" s="170">
        <v>0.12</v>
      </c>
      <c r="EC10" s="188">
        <f t="shared" si="3"/>
        <v>0.40376868360482082</v>
      </c>
      <c r="ED10" s="172">
        <f t="shared" si="4"/>
        <v>80.96398399460135</v>
      </c>
      <c r="EH10" s="161"/>
      <c r="EI10" s="164"/>
    </row>
    <row r="11" spans="1:139" ht="12.75" customHeight="1" x14ac:dyDescent="0.25">
      <c r="A11" s="192"/>
      <c r="B11" s="192"/>
      <c r="C11" s="192"/>
      <c r="D11" s="192"/>
      <c r="E11" s="192"/>
      <c r="F11" s="193"/>
      <c r="G11" s="195"/>
      <c r="H11" s="192"/>
      <c r="I11" s="192"/>
      <c r="M11" s="189" t="s">
        <v>246</v>
      </c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Y11" s="269" t="s">
        <v>188</v>
      </c>
      <c r="Z11" s="269"/>
      <c r="AA11" s="269"/>
      <c r="AB11" s="269"/>
      <c r="AC11" s="269"/>
      <c r="AD11" s="269"/>
      <c r="AE11" s="269"/>
      <c r="AF11" s="269"/>
      <c r="AG11" s="269"/>
      <c r="AH11" s="269"/>
      <c r="AI11" s="351" t="s">
        <v>239</v>
      </c>
      <c r="AJ11" s="351"/>
      <c r="AK11" s="351"/>
      <c r="AL11" s="351"/>
      <c r="AM11" s="351"/>
      <c r="AN11" s="351"/>
      <c r="AO11" s="351"/>
      <c r="AY11" s="283"/>
      <c r="AZ11" s="286"/>
      <c r="BA11" s="286"/>
      <c r="BB11" s="272"/>
      <c r="BC11" s="310"/>
      <c r="BD11" s="295"/>
      <c r="BH11" s="11" t="s">
        <v>36</v>
      </c>
      <c r="BI11" s="8">
        <v>264</v>
      </c>
      <c r="BJ11" s="12">
        <v>741.09999999999957</v>
      </c>
      <c r="BK11" s="38">
        <v>0.43041999999999997</v>
      </c>
      <c r="BL11" s="14">
        <v>2.7943021351200001</v>
      </c>
      <c r="BM11" s="24"/>
      <c r="BQ11" s="11" t="s">
        <v>39</v>
      </c>
      <c r="BR11" s="8">
        <v>1</v>
      </c>
      <c r="BS11" s="47">
        <v>69.8</v>
      </c>
      <c r="BT11" s="38">
        <v>0.10988984564613601</v>
      </c>
      <c r="BU11" s="14">
        <v>6.7191926340638558E-2</v>
      </c>
      <c r="BV11" s="1"/>
      <c r="CA11" s="13" t="s">
        <v>51</v>
      </c>
      <c r="CB11" s="62">
        <v>1</v>
      </c>
      <c r="CC11" s="63">
        <v>320</v>
      </c>
      <c r="CD11" s="64">
        <v>3.707233964204721E-2</v>
      </c>
      <c r="CE11" s="65">
        <f t="shared" si="0"/>
        <v>0.10392118248458673</v>
      </c>
      <c r="CF11" s="66"/>
      <c r="CL11" s="13" t="s">
        <v>51</v>
      </c>
      <c r="CM11" s="62">
        <v>3</v>
      </c>
      <c r="CN11" s="63">
        <v>760</v>
      </c>
      <c r="CO11" s="64">
        <v>3.707233964204721E-2</v>
      </c>
      <c r="CP11" s="182">
        <v>0.24681280840089351</v>
      </c>
      <c r="CQ11" s="18"/>
      <c r="CV11" s="91" t="s">
        <v>52</v>
      </c>
      <c r="CW11" s="92">
        <f>SUM(CW7:CW10)</f>
        <v>871064</v>
      </c>
      <c r="CX11" s="93">
        <f>SUM(CX7:CX10)</f>
        <v>88495.279466999258</v>
      </c>
      <c r="CY11" s="83">
        <f>CZ11*1000000/365/24/CX11</f>
        <v>0.30522982068314397</v>
      </c>
      <c r="CZ11" s="84">
        <f>SUM(CZ7:CZ10)</f>
        <v>236.61984895922799</v>
      </c>
      <c r="DA11" s="85">
        <f t="shared" si="5"/>
        <v>100.00002069109517</v>
      </c>
      <c r="DC11" s="180"/>
      <c r="DE11" s="272"/>
      <c r="DF11" s="101">
        <v>18</v>
      </c>
      <c r="DG11" s="102">
        <v>38.5</v>
      </c>
      <c r="DH11" s="103">
        <v>0.61427999999999994</v>
      </c>
      <c r="DI11" s="79">
        <v>0.20717207279999997</v>
      </c>
      <c r="DJ11" s="78">
        <v>9.0995051169654833</v>
      </c>
      <c r="DK11" s="104" t="s">
        <v>82</v>
      </c>
      <c r="DN11" s="272"/>
      <c r="DO11" s="327"/>
      <c r="DP11" s="104" t="s">
        <v>82</v>
      </c>
      <c r="DQ11" s="139">
        <v>9</v>
      </c>
      <c r="DR11" s="2">
        <v>404.09999999999997</v>
      </c>
      <c r="DS11" s="36">
        <v>0.39923999999999998</v>
      </c>
      <c r="DT11" s="90">
        <f t="shared" si="1"/>
        <v>1.4132760638399999</v>
      </c>
      <c r="DU11" s="114">
        <f t="shared" si="2"/>
        <v>1.3904468317744236</v>
      </c>
      <c r="DY11" s="174" t="s">
        <v>63</v>
      </c>
      <c r="DZ11" s="89">
        <v>24</v>
      </c>
      <c r="EA11" s="171">
        <v>0.82550000000000001</v>
      </c>
      <c r="EB11" s="170">
        <v>0.26432000000000005</v>
      </c>
      <c r="EC11" s="188">
        <f t="shared" si="3"/>
        <v>1.9113983616000005E-3</v>
      </c>
      <c r="ED11" s="172">
        <f t="shared" si="4"/>
        <v>0.38327496073804462</v>
      </c>
      <c r="EH11" s="161"/>
      <c r="EI11" s="164"/>
    </row>
    <row r="12" spans="1:139" ht="12.75" customHeight="1" x14ac:dyDescent="0.3">
      <c r="A12" s="192"/>
      <c r="B12" s="192"/>
      <c r="C12" s="192"/>
      <c r="D12" s="192"/>
      <c r="E12" s="192"/>
      <c r="F12" s="192"/>
      <c r="G12" s="195"/>
      <c r="H12" s="192"/>
      <c r="I12" s="192"/>
      <c r="M12" s="15" t="s">
        <v>245</v>
      </c>
      <c r="Y12" s="269" t="s">
        <v>266</v>
      </c>
      <c r="Z12" s="269"/>
      <c r="AA12" s="269"/>
      <c r="AB12" s="269"/>
      <c r="AC12" s="269"/>
      <c r="AD12" s="269"/>
      <c r="AE12" s="269"/>
      <c r="AF12" s="269"/>
      <c r="AG12" s="269"/>
      <c r="AH12" s="269"/>
      <c r="AI12" s="351" t="s">
        <v>176</v>
      </c>
      <c r="AJ12" s="351"/>
      <c r="AK12" s="351"/>
      <c r="AL12" s="351"/>
      <c r="AM12" s="351"/>
      <c r="AN12" s="351"/>
      <c r="AO12" s="351"/>
      <c r="AP12" s="216" t="s">
        <v>165</v>
      </c>
      <c r="AQ12" s="216"/>
      <c r="AR12" s="216"/>
      <c r="AS12" s="216"/>
      <c r="AT12" s="216"/>
      <c r="AU12" s="216"/>
      <c r="AV12" s="216"/>
      <c r="AW12" s="216"/>
      <c r="AX12" s="216"/>
      <c r="AY12" s="284"/>
      <c r="AZ12" s="287"/>
      <c r="BA12" s="287"/>
      <c r="BB12" s="273"/>
      <c r="BC12" s="311"/>
      <c r="BD12" s="296"/>
      <c r="BH12" s="11" t="s">
        <v>34</v>
      </c>
      <c r="BI12" s="10">
        <v>174</v>
      </c>
      <c r="BJ12" s="12">
        <v>246.55823999999998</v>
      </c>
      <c r="BK12" s="38">
        <v>0.74748445049434997</v>
      </c>
      <c r="BL12" s="14">
        <v>1.6144544267413856</v>
      </c>
      <c r="BM12" s="24"/>
      <c r="BQ12" s="31" t="s">
        <v>48</v>
      </c>
      <c r="BR12" s="33">
        <f>SUM(BR6:BR11)</f>
        <v>90</v>
      </c>
      <c r="BS12" s="34">
        <f>SUM(BS6:BS11)</f>
        <v>17512.5</v>
      </c>
      <c r="BT12" s="37">
        <f t="shared" ref="BT12:BT26" si="6">BU12*1000000/365/24/BS12</f>
        <v>0.4018342718744114</v>
      </c>
      <c r="BU12" s="35">
        <v>61.64519473111752</v>
      </c>
      <c r="BV12" s="46">
        <f>100*BU12/(BU12+BU26)</f>
        <v>54.133923364150348</v>
      </c>
      <c r="BZ12" s="61"/>
      <c r="CA12" s="13" t="s">
        <v>33</v>
      </c>
      <c r="CB12" s="62">
        <v>11</v>
      </c>
      <c r="CC12" s="63">
        <v>782</v>
      </c>
      <c r="CD12" s="64">
        <v>0.36020000000000002</v>
      </c>
      <c r="CE12" s="65">
        <f t="shared" si="0"/>
        <v>2.467485264</v>
      </c>
      <c r="CF12" s="66"/>
      <c r="CL12" s="13" t="s">
        <v>33</v>
      </c>
      <c r="CM12" s="70">
        <v>12</v>
      </c>
      <c r="CN12" s="27">
        <v>857</v>
      </c>
      <c r="CO12" s="36">
        <v>0.36019999999999996</v>
      </c>
      <c r="CP12" s="145">
        <v>2.704136664</v>
      </c>
      <c r="CQ12" s="18"/>
      <c r="CW12"/>
      <c r="CX12"/>
      <c r="CY12"/>
      <c r="CZ12"/>
      <c r="DA12"/>
      <c r="DE12" s="272"/>
      <c r="DF12" s="101">
        <v>11</v>
      </c>
      <c r="DG12" s="102">
        <v>20.100000000000001</v>
      </c>
      <c r="DH12" s="103">
        <v>0.61427999999999994</v>
      </c>
      <c r="DI12" s="79">
        <v>0.10815996528000001</v>
      </c>
      <c r="DJ12" s="78">
        <v>4.7506507234027602</v>
      </c>
      <c r="DK12" s="104" t="s">
        <v>84</v>
      </c>
      <c r="DN12" s="272"/>
      <c r="DO12" s="327"/>
      <c r="DP12" s="104" t="s">
        <v>83</v>
      </c>
      <c r="DQ12" s="139">
        <v>2</v>
      </c>
      <c r="DR12" s="2">
        <v>150</v>
      </c>
      <c r="DS12" s="36">
        <v>0.39923999999999998</v>
      </c>
      <c r="DT12" s="90">
        <f t="shared" si="1"/>
        <v>0.52460136000000002</v>
      </c>
      <c r="DU12" s="114">
        <f t="shared" si="2"/>
        <v>0.5161272575257696</v>
      </c>
      <c r="DY12" s="230" t="s">
        <v>52</v>
      </c>
      <c r="DZ12" s="92">
        <v>8653</v>
      </c>
      <c r="EA12" s="231">
        <v>404.26480900001974</v>
      </c>
      <c r="EB12" s="232">
        <f>EC12*1000000/365/24/EA12</f>
        <v>0.14082205968711858</v>
      </c>
      <c r="EC12" s="233">
        <f>SUM(EC6:EC11)</f>
        <v>0.49870157082664479</v>
      </c>
      <c r="ED12" s="237">
        <f t="shared" si="4"/>
        <v>99.999994150138022</v>
      </c>
      <c r="EH12" s="161"/>
      <c r="EI12" s="164"/>
    </row>
    <row r="13" spans="1:139" ht="12.75" customHeight="1" x14ac:dyDescent="0.25">
      <c r="A13" s="197"/>
      <c r="B13" s="197"/>
      <c r="C13" s="197"/>
      <c r="D13" s="197"/>
      <c r="E13" s="197"/>
      <c r="F13" s="197"/>
      <c r="G13" s="195"/>
      <c r="H13" s="197"/>
      <c r="I13" s="197"/>
      <c r="M13" s="15" t="s">
        <v>291</v>
      </c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351" t="s">
        <v>177</v>
      </c>
      <c r="AJ13" s="351"/>
      <c r="AK13" s="351"/>
      <c r="AL13" s="351"/>
      <c r="AM13" s="351"/>
      <c r="AN13" s="351"/>
      <c r="AO13" s="351"/>
      <c r="AP13" s="246" t="s">
        <v>166</v>
      </c>
      <c r="AQ13" s="246"/>
      <c r="AR13" s="246"/>
      <c r="AS13" s="246"/>
      <c r="AT13" s="246"/>
      <c r="AU13" s="246"/>
      <c r="AV13" s="246"/>
      <c r="AW13" s="246"/>
      <c r="AX13" s="246"/>
      <c r="AY13" s="7" t="s">
        <v>18</v>
      </c>
      <c r="AZ13" s="1">
        <v>4</v>
      </c>
      <c r="BA13" s="3">
        <v>90</v>
      </c>
      <c r="BB13" s="245" t="s">
        <v>16</v>
      </c>
      <c r="BC13" s="56">
        <v>61.64519473111752</v>
      </c>
      <c r="BD13" s="5">
        <v>54.133923364150291</v>
      </c>
      <c r="BH13" s="11" t="s">
        <v>33</v>
      </c>
      <c r="BI13" s="8">
        <v>22</v>
      </c>
      <c r="BJ13" s="12">
        <v>338.09999999999997</v>
      </c>
      <c r="BK13" s="38">
        <v>0.36019999999999996</v>
      </c>
      <c r="BL13" s="14">
        <v>1.0668245111999997</v>
      </c>
      <c r="BM13" s="24"/>
      <c r="BQ13" s="11" t="s">
        <v>30</v>
      </c>
      <c r="BR13" s="10">
        <v>7272</v>
      </c>
      <c r="BS13" s="12">
        <v>8271.5897200000072</v>
      </c>
      <c r="BT13" s="38">
        <f t="shared" si="6"/>
        <v>0.26632079360165339</v>
      </c>
      <c r="BU13" s="49">
        <v>19.297371925940475</v>
      </c>
      <c r="BV13" s="1"/>
      <c r="CA13" s="13" t="s">
        <v>31</v>
      </c>
      <c r="CB13" s="62">
        <v>38</v>
      </c>
      <c r="CC13" s="63">
        <v>25614.199999999997</v>
      </c>
      <c r="CD13" s="64">
        <v>0.39924000000000015</v>
      </c>
      <c r="CE13" s="65">
        <f t="shared" si="0"/>
        <v>89.581627702080013</v>
      </c>
      <c r="CF13" s="66"/>
      <c r="CL13" s="13" t="s">
        <v>31</v>
      </c>
      <c r="CM13" s="70">
        <v>40</v>
      </c>
      <c r="CN13" s="239">
        <f>CC13+CC43</f>
        <v>27714.199999999997</v>
      </c>
      <c r="CO13" s="36">
        <v>0.39923999999999998</v>
      </c>
      <c r="CP13" s="145">
        <v>96.926046742080018</v>
      </c>
      <c r="CQ13" s="18"/>
      <c r="CS13" s="243"/>
      <c r="CV13" s="374" t="s">
        <v>58</v>
      </c>
      <c r="CW13" s="375"/>
      <c r="CY13" s="274" t="s">
        <v>59</v>
      </c>
      <c r="CZ13" s="380"/>
      <c r="DA13" s="275"/>
      <c r="DB13" s="210"/>
      <c r="DE13" s="273"/>
      <c r="DF13" s="101">
        <v>6</v>
      </c>
      <c r="DG13" s="102">
        <v>9.4</v>
      </c>
      <c r="DH13" s="103">
        <v>0.61427999999999994</v>
      </c>
      <c r="DI13" s="79">
        <v>5.0582272319999989E-2</v>
      </c>
      <c r="DJ13" s="78">
        <v>2.221697353233131</v>
      </c>
      <c r="DK13" s="104" t="s">
        <v>83</v>
      </c>
      <c r="DN13" s="272"/>
      <c r="DO13" s="281"/>
      <c r="DP13" s="128" t="s">
        <v>91</v>
      </c>
      <c r="DQ13" s="117">
        <v>23</v>
      </c>
      <c r="DR13" s="93">
        <f>SUM(DR10:DR12)</f>
        <v>1348.3999999999999</v>
      </c>
      <c r="DS13" s="83">
        <v>0.39923999999999998</v>
      </c>
      <c r="DT13" s="93">
        <f t="shared" si="1"/>
        <v>4.7158164921599992</v>
      </c>
      <c r="DU13" s="46">
        <f t="shared" si="2"/>
        <v>4.639639960318318</v>
      </c>
      <c r="DY13"/>
      <c r="DZ13"/>
      <c r="EB13"/>
      <c r="EC13"/>
      <c r="ED13"/>
    </row>
    <row r="14" spans="1:139" ht="12.75" customHeight="1" x14ac:dyDescent="0.25">
      <c r="A14" s="197"/>
      <c r="B14" s="197"/>
      <c r="C14" s="197"/>
      <c r="D14" s="197"/>
      <c r="E14" s="197"/>
      <c r="F14" s="197"/>
      <c r="G14" s="195"/>
      <c r="H14" s="195"/>
      <c r="I14" s="197"/>
      <c r="M14" s="15" t="s">
        <v>292</v>
      </c>
      <c r="X14" s="137"/>
      <c r="Y14" s="269" t="s">
        <v>0</v>
      </c>
      <c r="Z14" s="269"/>
      <c r="AA14" s="269"/>
      <c r="AB14" s="269"/>
      <c r="AC14" s="269"/>
      <c r="AD14" s="269"/>
      <c r="AE14" s="269"/>
      <c r="AF14" s="269"/>
      <c r="AG14" s="269"/>
      <c r="AH14" s="269"/>
      <c r="AI14" s="351"/>
      <c r="AJ14" s="351"/>
      <c r="AK14" s="351"/>
      <c r="AL14" s="351"/>
      <c r="AM14" s="351"/>
      <c r="AN14" s="351"/>
      <c r="AO14" s="351"/>
      <c r="AP14" s="137" t="s">
        <v>167</v>
      </c>
      <c r="AQ14" s="137"/>
      <c r="AR14" s="137"/>
      <c r="AS14" s="137"/>
      <c r="AT14" s="137"/>
      <c r="AU14" s="137"/>
      <c r="AV14" s="137"/>
      <c r="AW14" s="137"/>
      <c r="AX14" s="137"/>
      <c r="AY14" s="282" t="s">
        <v>19</v>
      </c>
      <c r="AZ14" s="1">
        <v>5</v>
      </c>
      <c r="BA14" s="3">
        <v>91</v>
      </c>
      <c r="BB14" s="245" t="s">
        <v>16</v>
      </c>
      <c r="BC14" s="56">
        <v>62.434614796320012</v>
      </c>
      <c r="BD14" s="5">
        <v>54.233597218666397</v>
      </c>
      <c r="BH14" s="11" t="s">
        <v>32</v>
      </c>
      <c r="BI14" s="8">
        <v>21</v>
      </c>
      <c r="BJ14" s="12">
        <v>305.59999999999997</v>
      </c>
      <c r="BK14" s="38">
        <v>0.35517999999999983</v>
      </c>
      <c r="BL14" s="14">
        <v>0.95083675007999957</v>
      </c>
      <c r="BM14" s="24"/>
      <c r="BQ14" s="11" t="s">
        <v>39</v>
      </c>
      <c r="BR14" s="10">
        <v>859771</v>
      </c>
      <c r="BS14" s="12">
        <v>12123.364401000115</v>
      </c>
      <c r="BT14" s="38">
        <f t="shared" si="6"/>
        <v>0.10721829523701483</v>
      </c>
      <c r="BU14" s="49">
        <v>11.386655021244149</v>
      </c>
      <c r="BV14" s="1"/>
      <c r="CA14" s="13" t="s">
        <v>30</v>
      </c>
      <c r="CB14" s="62">
        <v>90</v>
      </c>
      <c r="CC14" s="63">
        <v>8887.1</v>
      </c>
      <c r="CD14" s="64">
        <v>0.26432000000000011</v>
      </c>
      <c r="CE14" s="65">
        <f t="shared" si="0"/>
        <v>20.577575262720007</v>
      </c>
      <c r="CF14" s="66"/>
      <c r="CL14" s="13" t="s">
        <v>30</v>
      </c>
      <c r="CM14" s="70">
        <v>120</v>
      </c>
      <c r="CN14" s="27">
        <v>12883.7</v>
      </c>
      <c r="CO14" s="36">
        <v>0.26432000000000005</v>
      </c>
      <c r="CP14" s="145">
        <v>29.831475555840008</v>
      </c>
      <c r="CQ14" s="18"/>
      <c r="CV14" s="376"/>
      <c r="CW14" s="377"/>
      <c r="CY14" s="276"/>
      <c r="CZ14" s="381"/>
      <c r="DA14" s="277"/>
      <c r="DB14" s="210"/>
      <c r="DE14" s="362" t="s">
        <v>34</v>
      </c>
      <c r="DF14" s="120">
        <v>67</v>
      </c>
      <c r="DG14" s="121">
        <v>3593.0999999999995</v>
      </c>
      <c r="DH14" s="126">
        <v>0.7478800000000001</v>
      </c>
      <c r="DI14" s="123">
        <v>23.539938821280003</v>
      </c>
      <c r="DJ14" s="98">
        <v>79.064628822443836</v>
      </c>
      <c r="DK14" s="99" t="s">
        <v>81</v>
      </c>
      <c r="DN14" s="272"/>
      <c r="DO14" s="271" t="s">
        <v>93</v>
      </c>
      <c r="DP14" s="104" t="s">
        <v>81</v>
      </c>
      <c r="DQ14" s="1">
        <v>42</v>
      </c>
      <c r="DR14" s="2">
        <f>DR6+DR10</f>
        <v>23475.499999999996</v>
      </c>
      <c r="DS14" s="36">
        <v>0.39923999999999998</v>
      </c>
      <c r="DT14" s="2">
        <f t="shared" si="1"/>
        <v>82.101861511199971</v>
      </c>
      <c r="DU14" s="114">
        <f t="shared" si="2"/>
        <v>80.775636226974669</v>
      </c>
      <c r="DY14" s="333" t="s">
        <v>302</v>
      </c>
      <c r="DZ14" s="334"/>
      <c r="EA14" s="334"/>
      <c r="EB14" s="334"/>
      <c r="EC14" s="334"/>
      <c r="ED14" s="335"/>
    </row>
    <row r="15" spans="1:139" ht="12.75" customHeight="1" x14ac:dyDescent="0.25">
      <c r="A15" s="197"/>
      <c r="B15" s="197"/>
      <c r="C15" s="197"/>
      <c r="D15" s="197"/>
      <c r="E15" s="197"/>
      <c r="F15" s="197"/>
      <c r="G15" s="195"/>
      <c r="H15" s="195"/>
      <c r="I15" s="197"/>
      <c r="X15" s="137"/>
      <c r="Y15" s="351" t="s">
        <v>197</v>
      </c>
      <c r="Z15" s="351"/>
      <c r="AA15" s="351"/>
      <c r="AB15" s="351"/>
      <c r="AC15" s="351"/>
      <c r="AD15" s="351"/>
      <c r="AE15" s="351"/>
      <c r="AF15" s="351"/>
      <c r="AG15" s="351"/>
      <c r="AH15" s="351"/>
      <c r="AI15" s="269" t="s">
        <v>179</v>
      </c>
      <c r="AJ15" s="269"/>
      <c r="AK15" s="269"/>
      <c r="AL15" s="269"/>
      <c r="AM15" s="269"/>
      <c r="AN15" s="269"/>
      <c r="AO15" s="269"/>
      <c r="AP15" s="137" t="s">
        <v>204</v>
      </c>
      <c r="AQ15" s="137"/>
      <c r="AR15" s="137"/>
      <c r="AS15" s="137"/>
      <c r="AT15" s="137"/>
      <c r="AU15" s="137"/>
      <c r="AV15" s="137"/>
      <c r="AW15" s="137"/>
      <c r="AX15" s="137"/>
      <c r="AY15" s="283"/>
      <c r="AZ15" s="285">
        <v>6</v>
      </c>
      <c r="BA15" s="285">
        <v>153</v>
      </c>
      <c r="BB15" s="271" t="s">
        <v>17</v>
      </c>
      <c r="BC15" s="309">
        <v>134.33348468280462</v>
      </c>
      <c r="BD15" s="294">
        <v>64.195961057500796</v>
      </c>
      <c r="BH15" s="11" t="s">
        <v>31</v>
      </c>
      <c r="BI15" s="8">
        <v>4</v>
      </c>
      <c r="BJ15" s="12">
        <v>194.8</v>
      </c>
      <c r="BK15" s="38">
        <v>0.39923999999999998</v>
      </c>
      <c r="BL15" s="14">
        <v>0.68128229951999997</v>
      </c>
      <c r="BM15" s="24"/>
      <c r="BQ15" s="11" t="s">
        <v>34</v>
      </c>
      <c r="BR15" s="10">
        <v>600</v>
      </c>
      <c r="BS15" s="12">
        <v>990.47960000000023</v>
      </c>
      <c r="BT15" s="38">
        <f t="shared" si="6"/>
        <v>0.75461864949955759</v>
      </c>
      <c r="BU15" s="49">
        <v>6.5475251522336331</v>
      </c>
      <c r="BV15" s="1"/>
      <c r="CA15" s="31" t="s">
        <v>48</v>
      </c>
      <c r="CB15" s="74">
        <f>SUM(CB7:CB14)</f>
        <v>153</v>
      </c>
      <c r="CC15" s="34">
        <f>SUM(CC7:CC14)</f>
        <v>39337.5</v>
      </c>
      <c r="CD15" s="37">
        <f>CE15*1000000/365/24/CC15</f>
        <v>0.38982834904824809</v>
      </c>
      <c r="CE15" s="67">
        <f>SUM(CE7:CE14)</f>
        <v>134.33348468280462</v>
      </c>
      <c r="CF15" s="46">
        <f>100*CE15/(CE15+CE30)</f>
        <v>64.195961057500753</v>
      </c>
      <c r="CL15" s="31" t="s">
        <v>35</v>
      </c>
      <c r="CM15" s="74">
        <f>SUM(CM7:CM14)</f>
        <v>191</v>
      </c>
      <c r="CN15" s="75">
        <f>SUM(CN7:CN14)</f>
        <v>46471.099999999991</v>
      </c>
      <c r="CO15" s="37">
        <v>0.1840439466915956</v>
      </c>
      <c r="CP15" s="183">
        <f>SUM(CP7:CP14)</f>
        <v>153.69684571384093</v>
      </c>
      <c r="CQ15" s="119">
        <f>100*CP15/(CP15+CP30)</f>
        <v>64.776704593711898</v>
      </c>
      <c r="CV15" s="378"/>
      <c r="CW15" s="379"/>
      <c r="CY15" s="278"/>
      <c r="CZ15" s="382"/>
      <c r="DA15" s="279"/>
      <c r="DB15" s="210"/>
      <c r="DE15" s="363"/>
      <c r="DF15" s="120">
        <v>18</v>
      </c>
      <c r="DG15" s="121">
        <v>498.21</v>
      </c>
      <c r="DH15" s="126">
        <v>0.7478800000000001</v>
      </c>
      <c r="DI15" s="123">
        <v>3.2639873424480008</v>
      </c>
      <c r="DJ15" s="124">
        <v>10.962897978244342</v>
      </c>
      <c r="DK15" s="125" t="s">
        <v>82</v>
      </c>
      <c r="DN15" s="272"/>
      <c r="DO15" s="272"/>
      <c r="DP15" s="104" t="s">
        <v>82</v>
      </c>
      <c r="DQ15" s="1">
        <v>17</v>
      </c>
      <c r="DR15" s="2">
        <f>DR7+DR11</f>
        <v>4561.1000000000004</v>
      </c>
      <c r="DS15" s="36">
        <v>0.39923999999999998</v>
      </c>
      <c r="DT15" s="2">
        <f t="shared" si="1"/>
        <v>15.951728420640002</v>
      </c>
      <c r="DU15" s="114">
        <f t="shared" si="2"/>
        <v>15.694053562005255</v>
      </c>
      <c r="DY15" s="300" t="s">
        <v>224</v>
      </c>
      <c r="DZ15" s="301"/>
      <c r="EA15" s="301"/>
      <c r="EB15" s="301"/>
      <c r="EC15" s="301"/>
      <c r="ED15" s="302"/>
      <c r="EE15" s="212"/>
    </row>
    <row r="16" spans="1:139" ht="12.75" customHeight="1" x14ac:dyDescent="0.25">
      <c r="A16" s="198"/>
      <c r="B16" s="198"/>
      <c r="C16" s="198"/>
      <c r="D16" s="198"/>
      <c r="E16" s="198"/>
      <c r="F16" s="198"/>
      <c r="G16" s="199"/>
      <c r="H16" s="199"/>
      <c r="I16" s="198"/>
      <c r="M16" s="137" t="s">
        <v>227</v>
      </c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269" t="s">
        <v>196</v>
      </c>
      <c r="Z16" s="269"/>
      <c r="AA16" s="269"/>
      <c r="AB16" s="269"/>
      <c r="AC16" s="269"/>
      <c r="AD16" s="269"/>
      <c r="AE16" s="269"/>
      <c r="AF16" s="269"/>
      <c r="AG16" s="269"/>
      <c r="AH16" s="269"/>
      <c r="AI16" s="15" t="s">
        <v>178</v>
      </c>
      <c r="AP16" s="137" t="s">
        <v>261</v>
      </c>
      <c r="AQ16" s="137"/>
      <c r="AR16" s="137"/>
      <c r="AS16" s="137"/>
      <c r="AT16" s="137"/>
      <c r="AU16" s="137"/>
      <c r="AV16" s="137"/>
      <c r="AW16" s="137"/>
      <c r="AX16" s="137"/>
      <c r="AY16" s="283"/>
      <c r="AZ16" s="286"/>
      <c r="BA16" s="286"/>
      <c r="BB16" s="272"/>
      <c r="BC16" s="310"/>
      <c r="BD16" s="295"/>
      <c r="BH16" s="11" t="s">
        <v>37</v>
      </c>
      <c r="BI16" s="10">
        <v>241</v>
      </c>
      <c r="BJ16" s="12">
        <v>82.340310000000017</v>
      </c>
      <c r="BK16" s="38">
        <v>0.38138124901197479</v>
      </c>
      <c r="BL16" s="14">
        <v>0.27509072038125887</v>
      </c>
      <c r="BM16" s="24"/>
      <c r="BQ16" s="11" t="s">
        <v>31</v>
      </c>
      <c r="BR16" s="10">
        <v>19</v>
      </c>
      <c r="BS16" s="14">
        <v>1218.5000000000002</v>
      </c>
      <c r="BT16" s="38">
        <f t="shared" si="6"/>
        <v>0.38885999035936575</v>
      </c>
      <c r="BU16" s="49">
        <v>4.1507148686952924</v>
      </c>
      <c r="BV16" s="1"/>
      <c r="CA16" s="13" t="s">
        <v>44</v>
      </c>
      <c r="CB16" s="68">
        <v>64</v>
      </c>
      <c r="CC16" s="63">
        <v>846.59999999999991</v>
      </c>
      <c r="CD16" s="64">
        <v>0.82</v>
      </c>
      <c r="CE16" s="65">
        <f t="shared" ref="CE16:CE29" si="7">CC16*365*24*CD16/1000000</f>
        <v>6.0812971199999986</v>
      </c>
      <c r="CF16" s="66"/>
      <c r="CL16" s="13" t="s">
        <v>44</v>
      </c>
      <c r="CM16" s="9">
        <v>65</v>
      </c>
      <c r="CN16" s="169">
        <v>874.59999999999991</v>
      </c>
      <c r="CO16" s="36">
        <v>0.82</v>
      </c>
      <c r="CP16" s="145">
        <v>6.2824267199999984</v>
      </c>
      <c r="CQ16" s="1"/>
      <c r="CV16" s="88" t="s">
        <v>60</v>
      </c>
      <c r="CW16" s="36">
        <v>0.82</v>
      </c>
      <c r="CY16" s="383" t="s">
        <v>38</v>
      </c>
      <c r="CZ16" s="384"/>
      <c r="DA16" s="36">
        <v>0.71976379240557753</v>
      </c>
      <c r="DB16" s="45"/>
      <c r="DE16" s="363"/>
      <c r="DF16" s="120">
        <v>11</v>
      </c>
      <c r="DG16" s="121">
        <v>433.59999999999997</v>
      </c>
      <c r="DH16" s="126">
        <v>0.7478800000000001</v>
      </c>
      <c r="DI16" s="123">
        <v>2.8406995276800004</v>
      </c>
      <c r="DJ16" s="124">
        <v>9.5411825602993652</v>
      </c>
      <c r="DK16" s="125" t="s">
        <v>83</v>
      </c>
      <c r="DN16" s="272"/>
      <c r="DO16" s="272"/>
      <c r="DP16" s="116" t="s">
        <v>83</v>
      </c>
      <c r="DQ16" s="117">
        <v>4</v>
      </c>
      <c r="DR16" s="93">
        <f>DR8+DR12</f>
        <v>1026</v>
      </c>
      <c r="DS16" s="83">
        <v>0.39923999999999998</v>
      </c>
      <c r="DT16" s="93">
        <f t="shared" si="1"/>
        <v>3.5882733023999998</v>
      </c>
      <c r="DU16" s="85">
        <f t="shared" si="2"/>
        <v>3.5303104414762645</v>
      </c>
      <c r="DY16" s="280" t="s">
        <v>23</v>
      </c>
      <c r="DZ16" s="328" t="s">
        <v>24</v>
      </c>
      <c r="EA16" s="271" t="s">
        <v>25</v>
      </c>
      <c r="EB16" s="271" t="s">
        <v>26</v>
      </c>
      <c r="EC16" s="336" t="s">
        <v>27</v>
      </c>
      <c r="ED16" s="337"/>
    </row>
    <row r="17" spans="1:139" ht="12.75" customHeight="1" x14ac:dyDescent="0.25">
      <c r="A17" s="192"/>
      <c r="B17" s="192"/>
      <c r="C17" s="192"/>
      <c r="D17" s="192"/>
      <c r="E17" s="192"/>
      <c r="F17" s="192"/>
      <c r="G17" s="193"/>
      <c r="H17" s="193"/>
      <c r="I17" s="192"/>
      <c r="M17" s="137" t="s">
        <v>228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365" t="s">
        <v>198</v>
      </c>
      <c r="Z17" s="365"/>
      <c r="AA17" s="365"/>
      <c r="AB17" s="365"/>
      <c r="AC17" s="365"/>
      <c r="AD17" s="365"/>
      <c r="AE17" s="365"/>
      <c r="AF17" s="365"/>
      <c r="AG17" s="365"/>
      <c r="AH17" s="365"/>
      <c r="AP17" s="137"/>
      <c r="AQ17" s="137"/>
      <c r="AR17" s="137"/>
      <c r="AS17" s="137"/>
      <c r="AT17" s="137"/>
      <c r="AU17" s="137"/>
      <c r="AV17" s="137"/>
      <c r="AW17" s="137"/>
      <c r="AX17" s="137"/>
      <c r="AY17" s="283"/>
      <c r="AZ17" s="287"/>
      <c r="BA17" s="287"/>
      <c r="BB17" s="273"/>
      <c r="BC17" s="311"/>
      <c r="BD17" s="296"/>
      <c r="BH17" s="11" t="s">
        <v>38</v>
      </c>
      <c r="BI17" s="10">
        <v>21</v>
      </c>
      <c r="BJ17" s="12">
        <v>32.695999999999998</v>
      </c>
      <c r="BK17" s="38">
        <v>0.6165254342890345</v>
      </c>
      <c r="BL17" s="14">
        <v>0.17658334065174502</v>
      </c>
      <c r="BM17" s="24"/>
      <c r="BQ17" s="11" t="s">
        <v>36</v>
      </c>
      <c r="BR17" s="10">
        <v>268</v>
      </c>
      <c r="BS17" s="50">
        <v>747.6999999999997</v>
      </c>
      <c r="BT17" s="38">
        <f t="shared" si="6"/>
        <v>0.46003675254101734</v>
      </c>
      <c r="BU17" s="49">
        <v>3.0131726437042863</v>
      </c>
      <c r="BV17" s="1"/>
      <c r="CA17" s="13" t="s">
        <v>38</v>
      </c>
      <c r="CB17" s="9">
        <v>244</v>
      </c>
      <c r="CC17" s="27">
        <v>425.31167999999997</v>
      </c>
      <c r="CD17" s="64">
        <v>0.61621741594742652</v>
      </c>
      <c r="CE17" s="65">
        <f t="shared" si="7"/>
        <v>2.2958599083354825</v>
      </c>
      <c r="CF17" s="18"/>
      <c r="CL17" s="13" t="s">
        <v>38</v>
      </c>
      <c r="CM17" s="9">
        <v>248</v>
      </c>
      <c r="CN17" s="27">
        <v>430.91167999999999</v>
      </c>
      <c r="CO17" s="36">
        <v>0.61619223786614175</v>
      </c>
      <c r="CP17" s="145">
        <v>2.3259940280154825</v>
      </c>
      <c r="CQ17" s="1"/>
      <c r="CV17" s="88" t="s">
        <v>38</v>
      </c>
      <c r="CW17" s="36">
        <v>0.61427999999999994</v>
      </c>
      <c r="CY17" s="383" t="s">
        <v>37</v>
      </c>
      <c r="CZ17" s="384"/>
      <c r="DA17" s="36">
        <v>0.37723995080297301</v>
      </c>
      <c r="DB17" s="45"/>
      <c r="DE17" s="364"/>
      <c r="DF17" s="120">
        <v>3</v>
      </c>
      <c r="DG17" s="121">
        <v>19.600000000000001</v>
      </c>
      <c r="DH17" s="126">
        <v>0.7478800000000001</v>
      </c>
      <c r="DI17" s="123">
        <v>0.12840800448000003</v>
      </c>
      <c r="DJ17" s="124">
        <v>0.43128961757810791</v>
      </c>
      <c r="DK17" s="125" t="s">
        <v>84</v>
      </c>
      <c r="DN17" s="273"/>
      <c r="DO17" s="273"/>
      <c r="DP17" s="116" t="s">
        <v>91</v>
      </c>
      <c r="DQ17" s="117">
        <f>SUM(DQ14:DQ16)</f>
        <v>63</v>
      </c>
      <c r="DR17" s="93">
        <f>SUM(DR14:DR16)</f>
        <v>29062.6</v>
      </c>
      <c r="DS17" s="83">
        <v>0.39923999999999998</v>
      </c>
      <c r="DT17" s="93">
        <f t="shared" si="1"/>
        <v>101.64186323423999</v>
      </c>
      <c r="DU17" s="85">
        <f t="shared" si="2"/>
        <v>100.00000023045621</v>
      </c>
      <c r="DY17" s="327"/>
      <c r="DZ17" s="329"/>
      <c r="EA17" s="272"/>
      <c r="EB17" s="272"/>
      <c r="EC17" s="328" t="s">
        <v>28</v>
      </c>
      <c r="ED17" s="271" t="s">
        <v>15</v>
      </c>
    </row>
    <row r="18" spans="1:139" ht="12.75" customHeight="1" x14ac:dyDescent="0.25">
      <c r="A18" s="192"/>
      <c r="B18" s="192"/>
      <c r="C18" s="192"/>
      <c r="D18" s="192"/>
      <c r="E18" s="192"/>
      <c r="F18" s="192"/>
      <c r="G18" s="193"/>
      <c r="H18" s="193"/>
      <c r="I18" s="192"/>
      <c r="M18" s="137" t="s">
        <v>247</v>
      </c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Y18" s="269" t="s">
        <v>205</v>
      </c>
      <c r="Z18" s="269"/>
      <c r="AA18" s="269"/>
      <c r="AB18" s="269"/>
      <c r="AC18" s="269"/>
      <c r="AD18" s="269"/>
      <c r="AE18" s="269"/>
      <c r="AF18" s="269"/>
      <c r="AG18" s="269"/>
      <c r="AH18" s="269"/>
      <c r="AI18" s="351" t="s">
        <v>180</v>
      </c>
      <c r="AJ18" s="351"/>
      <c r="AK18" s="351"/>
      <c r="AL18" s="351"/>
      <c r="AM18" s="351"/>
      <c r="AN18" s="351"/>
      <c r="AO18" s="351"/>
      <c r="AP18" s="137" t="s">
        <v>168</v>
      </c>
      <c r="AQ18" s="137"/>
      <c r="AR18" s="137"/>
      <c r="AS18" s="137"/>
      <c r="AT18" s="137"/>
      <c r="AU18" s="137"/>
      <c r="AV18" s="137"/>
      <c r="AW18" s="137"/>
      <c r="AX18" s="137"/>
      <c r="AY18" s="283"/>
      <c r="AZ18" s="1">
        <v>7</v>
      </c>
      <c r="BA18" s="3">
        <v>38</v>
      </c>
      <c r="BB18" s="245" t="s">
        <v>20</v>
      </c>
      <c r="BC18" s="56">
        <v>19.363361031036309</v>
      </c>
      <c r="BD18" s="5">
        <v>69.109954219442699</v>
      </c>
      <c r="BH18" s="11" t="s">
        <v>39</v>
      </c>
      <c r="BI18" s="10">
        <v>42591</v>
      </c>
      <c r="BJ18" s="12">
        <v>121.16209460001842</v>
      </c>
      <c r="BK18" s="38">
        <v>0.10118929335901672</v>
      </c>
      <c r="BL18" s="14">
        <v>0.10740028699399398</v>
      </c>
      <c r="BM18" s="24"/>
      <c r="BQ18" s="11" t="s">
        <v>33</v>
      </c>
      <c r="BR18" s="10">
        <v>49</v>
      </c>
      <c r="BS18" s="14">
        <v>934.1</v>
      </c>
      <c r="BT18" s="38">
        <f t="shared" si="6"/>
        <v>0.35701900514873164</v>
      </c>
      <c r="BU18" s="49">
        <v>2.9213851257346084</v>
      </c>
      <c r="BV18" s="1"/>
      <c r="CA18" s="13" t="s">
        <v>46</v>
      </c>
      <c r="CB18" s="68">
        <v>2</v>
      </c>
      <c r="CC18" s="63">
        <v>10</v>
      </c>
      <c r="CD18" s="64">
        <v>0.91000000000000014</v>
      </c>
      <c r="CE18" s="65">
        <f t="shared" si="7"/>
        <v>7.9716000000000009E-2</v>
      </c>
      <c r="CF18" s="66"/>
      <c r="CL18" s="13" t="s">
        <v>46</v>
      </c>
      <c r="CM18" s="68">
        <v>2</v>
      </c>
      <c r="CN18" s="63">
        <v>10</v>
      </c>
      <c r="CO18" s="64">
        <v>0.91000000000000014</v>
      </c>
      <c r="CP18" s="182">
        <v>7.9716000000000009E-2</v>
      </c>
      <c r="CQ18" s="1"/>
      <c r="CV18" s="88" t="s">
        <v>33</v>
      </c>
      <c r="CW18" s="36">
        <v>0.36019999999999996</v>
      </c>
      <c r="CY18" s="383" t="s">
        <v>61</v>
      </c>
      <c r="CZ18" s="384"/>
      <c r="DA18" s="36">
        <v>0.13156307668106412</v>
      </c>
      <c r="DB18" s="45"/>
      <c r="DE18" s="271" t="s">
        <v>33</v>
      </c>
      <c r="DF18" s="101">
        <v>99</v>
      </c>
      <c r="DG18" s="102">
        <v>2700.2500000000005</v>
      </c>
      <c r="DH18" s="36">
        <v>0.36019999999999996</v>
      </c>
      <c r="DI18" s="79">
        <v>8.520239238000002</v>
      </c>
      <c r="DJ18" s="98">
        <v>89.059850594797538</v>
      </c>
      <c r="DK18" s="99" t="s">
        <v>81</v>
      </c>
      <c r="DS18" s="15"/>
      <c r="DY18" s="281"/>
      <c r="DZ18" s="330"/>
      <c r="EA18" s="273"/>
      <c r="EB18" s="273"/>
      <c r="EC18" s="330"/>
      <c r="ED18" s="273"/>
    </row>
    <row r="19" spans="1:139" ht="15.75" customHeight="1" x14ac:dyDescent="0.35">
      <c r="A19" s="192"/>
      <c r="B19" s="222"/>
      <c r="C19" s="222"/>
      <c r="D19" s="222"/>
      <c r="E19" s="223"/>
      <c r="F19" s="220" t="s">
        <v>151</v>
      </c>
      <c r="G19" s="224"/>
      <c r="H19" s="224"/>
      <c r="I19" s="222"/>
      <c r="J19" s="223"/>
      <c r="K19" s="223"/>
      <c r="M19" s="137" t="s">
        <v>249</v>
      </c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Y19" s="269" t="s">
        <v>199</v>
      </c>
      <c r="Z19" s="269"/>
      <c r="AA19" s="269"/>
      <c r="AB19" s="269"/>
      <c r="AC19" s="269"/>
      <c r="AD19" s="269"/>
      <c r="AE19" s="269"/>
      <c r="AF19" s="269"/>
      <c r="AG19" s="269"/>
      <c r="AH19" s="269"/>
      <c r="AI19" s="351" t="s">
        <v>181</v>
      </c>
      <c r="AJ19" s="351"/>
      <c r="AK19" s="351"/>
      <c r="AL19" s="351"/>
      <c r="AM19" s="351"/>
      <c r="AN19" s="351"/>
      <c r="AO19" s="351"/>
      <c r="AP19" s="137" t="s">
        <v>169</v>
      </c>
      <c r="AQ19" s="137"/>
      <c r="AR19" s="137"/>
      <c r="AS19" s="137"/>
      <c r="AT19" s="137"/>
      <c r="AU19" s="137"/>
      <c r="AV19" s="137"/>
      <c r="AW19" s="137"/>
      <c r="AX19" s="137"/>
      <c r="AY19" s="283"/>
      <c r="AZ19" s="285">
        <v>8</v>
      </c>
      <c r="BA19" s="285">
        <v>191</v>
      </c>
      <c r="BB19" s="271" t="s">
        <v>21</v>
      </c>
      <c r="BC19" s="309">
        <v>153.69684571384093</v>
      </c>
      <c r="BD19" s="294">
        <v>64.776224705035204</v>
      </c>
      <c r="BH19" s="11" t="s">
        <v>40</v>
      </c>
      <c r="BI19" s="8">
        <v>1</v>
      </c>
      <c r="BJ19" s="12">
        <v>5.5</v>
      </c>
      <c r="BK19" s="39">
        <v>0.46838000000000002</v>
      </c>
      <c r="BL19" s="14">
        <v>2.2566548400000001E-2</v>
      </c>
      <c r="BM19" s="24"/>
      <c r="BQ19" s="11" t="s">
        <v>38</v>
      </c>
      <c r="BR19" s="10">
        <v>209</v>
      </c>
      <c r="BS19" s="12">
        <v>338.17868000000004</v>
      </c>
      <c r="BT19" s="38">
        <f t="shared" si="6"/>
        <v>0.60514431256739609</v>
      </c>
      <c r="BU19" s="49">
        <v>1.7927068863418931</v>
      </c>
      <c r="BV19" s="1"/>
      <c r="CA19" s="13" t="s">
        <v>32</v>
      </c>
      <c r="CB19" s="68">
        <v>21</v>
      </c>
      <c r="CC19" s="63">
        <v>305.59999999999997</v>
      </c>
      <c r="CD19" s="64">
        <v>0.35517999999999994</v>
      </c>
      <c r="CE19" s="65">
        <f t="shared" si="7"/>
        <v>0.95083675007999968</v>
      </c>
      <c r="CF19" s="66"/>
      <c r="CL19" s="13" t="s">
        <v>32</v>
      </c>
      <c r="CM19" s="9">
        <v>22</v>
      </c>
      <c r="CN19" s="27">
        <v>315.59999999999997</v>
      </c>
      <c r="CO19" s="36">
        <v>0.35518</v>
      </c>
      <c r="CP19" s="145">
        <v>0.98195051807999967</v>
      </c>
      <c r="CQ19" s="1"/>
      <c r="CS19" s="238"/>
      <c r="CV19" s="88" t="s">
        <v>62</v>
      </c>
      <c r="CW19" s="36">
        <v>0.91000000000000014</v>
      </c>
      <c r="CY19" s="383" t="s">
        <v>39</v>
      </c>
      <c r="CZ19" s="384"/>
      <c r="DA19" s="36">
        <v>0.10111430542982841</v>
      </c>
      <c r="DB19" s="45"/>
      <c r="DE19" s="272"/>
      <c r="DF19" s="101">
        <v>14</v>
      </c>
      <c r="DG19" s="102">
        <v>229.00000000000003</v>
      </c>
      <c r="DH19" s="36">
        <v>0.36019999999999996</v>
      </c>
      <c r="DI19" s="79">
        <v>0.72257560799999998</v>
      </c>
      <c r="DJ19" s="78">
        <v>7.5528953934667644</v>
      </c>
      <c r="DK19" s="104" t="s">
        <v>82</v>
      </c>
      <c r="DN19" s="324" t="s">
        <v>78</v>
      </c>
      <c r="DO19" s="325"/>
      <c r="DP19" s="325"/>
      <c r="DQ19" s="325"/>
      <c r="DR19" s="325"/>
      <c r="DS19" s="325"/>
      <c r="DT19" s="325"/>
      <c r="DU19" s="325"/>
      <c r="DV19" s="326"/>
      <c r="DY19" s="174" t="s">
        <v>39</v>
      </c>
      <c r="DZ19" s="168">
        <v>6443</v>
      </c>
      <c r="EA19" s="171">
        <v>25.393270000000193</v>
      </c>
      <c r="EB19" s="170">
        <v>0.12</v>
      </c>
      <c r="EC19" s="187">
        <f>EA19*365*24*EB19/1000000</f>
        <v>2.6693405424000203E-2</v>
      </c>
      <c r="ED19" s="172">
        <f>100*EC19/EC19</f>
        <v>100.00000000000001</v>
      </c>
    </row>
    <row r="20" spans="1:139" ht="15.5" x14ac:dyDescent="0.3">
      <c r="A20" s="192"/>
      <c r="B20" s="222"/>
      <c r="C20" s="222"/>
      <c r="D20" s="222"/>
      <c r="E20" s="223"/>
      <c r="F20" s="221" t="s">
        <v>150</v>
      </c>
      <c r="G20" s="224"/>
      <c r="H20" s="222"/>
      <c r="I20" s="222"/>
      <c r="J20" s="223"/>
      <c r="K20" s="223"/>
      <c r="M20" s="137" t="s">
        <v>248</v>
      </c>
      <c r="N20" s="137"/>
      <c r="O20" s="137"/>
      <c r="P20" s="137"/>
      <c r="Q20" s="137"/>
      <c r="R20" s="137"/>
      <c r="S20" s="137"/>
      <c r="T20" s="137" t="s">
        <v>235</v>
      </c>
      <c r="U20" s="137"/>
      <c r="V20" s="137"/>
      <c r="W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269" t="s">
        <v>182</v>
      </c>
      <c r="AJ20" s="269"/>
      <c r="AK20" s="269"/>
      <c r="AL20" s="269"/>
      <c r="AM20" s="269"/>
      <c r="AN20" s="269"/>
      <c r="AO20" s="269"/>
      <c r="AP20" s="15" t="s">
        <v>293</v>
      </c>
      <c r="AY20" s="283"/>
      <c r="AZ20" s="286"/>
      <c r="BA20" s="286"/>
      <c r="BB20" s="272"/>
      <c r="BC20" s="310"/>
      <c r="BD20" s="295"/>
      <c r="BH20" s="11" t="s">
        <v>41</v>
      </c>
      <c r="BI20" s="8">
        <v>2</v>
      </c>
      <c r="BJ20" s="12">
        <v>24</v>
      </c>
      <c r="BK20" s="38">
        <v>3.7072339642047217E-2</v>
      </c>
      <c r="BL20" s="14">
        <v>7.7940886863440062E-3</v>
      </c>
      <c r="BM20" s="24"/>
      <c r="BQ20" s="11" t="s">
        <v>44</v>
      </c>
      <c r="BR20" s="10">
        <v>17</v>
      </c>
      <c r="BS20" s="14">
        <v>186.3</v>
      </c>
      <c r="BT20" s="38">
        <f t="shared" si="6"/>
        <v>0.82</v>
      </c>
      <c r="BU20" s="49">
        <v>1.3382301599999999</v>
      </c>
      <c r="BV20" s="1"/>
      <c r="CA20" s="13" t="s">
        <v>37</v>
      </c>
      <c r="CB20" s="9">
        <v>1064</v>
      </c>
      <c r="CC20" s="27">
        <v>223.39931800000002</v>
      </c>
      <c r="CD20" s="64">
        <v>0.38084526585742939</v>
      </c>
      <c r="CE20" s="65">
        <f t="shared" si="7"/>
        <v>0.74530581646724714</v>
      </c>
      <c r="CF20" s="66"/>
      <c r="CL20" s="13" t="s">
        <v>37</v>
      </c>
      <c r="CM20" s="9">
        <v>1067</v>
      </c>
      <c r="CN20" s="27">
        <v>226.14931800000002</v>
      </c>
      <c r="CO20" s="36">
        <v>0.75450048766724709</v>
      </c>
      <c r="CP20" s="145">
        <v>0.75450048766724709</v>
      </c>
      <c r="CQ20" s="1"/>
      <c r="CV20" s="88" t="s">
        <v>32</v>
      </c>
      <c r="CW20" s="36">
        <v>0.35518</v>
      </c>
      <c r="CY20" s="383" t="s">
        <v>63</v>
      </c>
      <c r="CZ20" s="384"/>
      <c r="DA20" s="36">
        <v>0.26939013358212555</v>
      </c>
      <c r="DB20" s="45"/>
      <c r="DE20" s="272"/>
      <c r="DF20" s="101">
        <v>4</v>
      </c>
      <c r="DG20" s="102">
        <v>73.8</v>
      </c>
      <c r="DH20" s="36">
        <v>0.36019999999999996</v>
      </c>
      <c r="DI20" s="79">
        <v>0.23286497759999999</v>
      </c>
      <c r="DJ20" s="78">
        <v>2.4340772054054467</v>
      </c>
      <c r="DK20" s="104" t="s">
        <v>83</v>
      </c>
      <c r="DN20" s="338" t="s">
        <v>94</v>
      </c>
      <c r="DO20" s="339"/>
      <c r="DP20" s="339"/>
      <c r="DQ20" s="339"/>
      <c r="DR20" s="339"/>
      <c r="DS20" s="339"/>
      <c r="DT20" s="339"/>
      <c r="DU20" s="339"/>
      <c r="DV20" s="340"/>
      <c r="DY20" s="234" t="s">
        <v>52</v>
      </c>
      <c r="DZ20" s="235">
        <v>6443</v>
      </c>
      <c r="EA20" s="231">
        <v>25.393270000000193</v>
      </c>
      <c r="EB20" s="232">
        <v>0.12</v>
      </c>
      <c r="EC20" s="236">
        <f>EA20*365*24*EB20/1000000</f>
        <v>2.6693405424000203E-2</v>
      </c>
      <c r="ED20" s="237">
        <f>100*EC20/EC20</f>
        <v>100.00000000000001</v>
      </c>
    </row>
    <row r="21" spans="1:139" ht="12.75" customHeight="1" x14ac:dyDescent="0.25">
      <c r="A21" s="192"/>
      <c r="B21" s="192"/>
      <c r="C21" s="192"/>
      <c r="D21" s="192"/>
      <c r="F21" s="192"/>
      <c r="G21" s="193"/>
      <c r="H21" s="192"/>
      <c r="I21" s="192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Y21" s="365" t="s">
        <v>1</v>
      </c>
      <c r="Z21" s="365"/>
      <c r="AA21" s="365"/>
      <c r="AB21" s="365"/>
      <c r="AC21" s="365"/>
      <c r="AD21" s="365"/>
      <c r="AE21" s="365"/>
      <c r="AF21" s="365"/>
      <c r="AG21" s="365"/>
      <c r="AH21" s="365"/>
      <c r="AI21" s="351" t="s">
        <v>294</v>
      </c>
      <c r="AJ21" s="351"/>
      <c r="AK21" s="351"/>
      <c r="AL21" s="351"/>
      <c r="AM21" s="351"/>
      <c r="AN21" s="351"/>
      <c r="AO21" s="351"/>
      <c r="AP21" s="137"/>
      <c r="AQ21" s="137"/>
      <c r="AR21" s="137"/>
      <c r="AS21" s="137"/>
      <c r="AT21" s="137"/>
      <c r="AU21" s="137"/>
      <c r="AV21" s="137"/>
      <c r="AW21" s="137"/>
      <c r="AX21" s="137"/>
      <c r="AY21" s="283"/>
      <c r="AZ21" s="286"/>
      <c r="BA21" s="286"/>
      <c r="BB21" s="272"/>
      <c r="BC21" s="310"/>
      <c r="BD21" s="295"/>
      <c r="BH21" s="32" t="s">
        <v>42</v>
      </c>
      <c r="BI21" s="40">
        <v>45091</v>
      </c>
      <c r="BJ21" s="41">
        <v>5012.5576666000188</v>
      </c>
      <c r="BK21" s="44">
        <v>0.32932739035932135</v>
      </c>
      <c r="BL21" s="42">
        <v>14.46076740981486</v>
      </c>
      <c r="BM21" s="46">
        <v>68.576727971454943</v>
      </c>
      <c r="BQ21" s="11" t="s">
        <v>32</v>
      </c>
      <c r="BR21" s="10">
        <v>21</v>
      </c>
      <c r="BS21" s="14">
        <v>305.60000000000002</v>
      </c>
      <c r="BT21" s="38">
        <f t="shared" si="6"/>
        <v>0.35142236302906077</v>
      </c>
      <c r="BU21" s="49">
        <v>0.94077734548112546</v>
      </c>
      <c r="BV21" s="1"/>
      <c r="CA21" s="13" t="s">
        <v>36</v>
      </c>
      <c r="CB21" s="68">
        <v>272</v>
      </c>
      <c r="CC21" s="63">
        <v>793.19999999999948</v>
      </c>
      <c r="CD21" s="64">
        <v>0.43042000000000025</v>
      </c>
      <c r="CE21" s="65">
        <f t="shared" si="7"/>
        <v>2.9907441014399998</v>
      </c>
      <c r="CF21" s="66"/>
      <c r="CL21" s="13" t="s">
        <v>36</v>
      </c>
      <c r="CM21" s="9">
        <v>276</v>
      </c>
      <c r="CN21" s="27">
        <v>809.53999999999951</v>
      </c>
      <c r="CO21" s="36">
        <v>0.43041999999999997</v>
      </c>
      <c r="CP21" s="145">
        <v>3.0505959254399997</v>
      </c>
      <c r="CQ21" s="1"/>
      <c r="CV21" s="88" t="s">
        <v>37</v>
      </c>
      <c r="CW21" s="36">
        <v>0.38167999999999991</v>
      </c>
      <c r="CY21" s="94" t="s">
        <v>64</v>
      </c>
      <c r="CZ21" s="136"/>
      <c r="DE21" s="273"/>
      <c r="DF21" s="101">
        <v>2</v>
      </c>
      <c r="DG21" s="102">
        <v>28.9</v>
      </c>
      <c r="DH21" s="36">
        <v>0.36019999999999996</v>
      </c>
      <c r="DI21" s="79">
        <v>9.1189672799999968E-2</v>
      </c>
      <c r="DJ21" s="78">
        <v>0.95318199507069612</v>
      </c>
      <c r="DK21" s="104" t="s">
        <v>84</v>
      </c>
      <c r="DN21" s="280" t="s">
        <v>23</v>
      </c>
      <c r="DO21" s="328" t="s">
        <v>89</v>
      </c>
      <c r="DP21" s="280" t="s">
        <v>79</v>
      </c>
      <c r="DQ21" s="328" t="s">
        <v>24</v>
      </c>
      <c r="DR21" s="271" t="s">
        <v>25</v>
      </c>
      <c r="DS21" s="271" t="s">
        <v>26</v>
      </c>
      <c r="DT21" s="336" t="s">
        <v>27</v>
      </c>
      <c r="DU21" s="341"/>
      <c r="DV21" s="337"/>
      <c r="DY21"/>
      <c r="EA21" s="15"/>
    </row>
    <row r="22" spans="1:139" ht="12.75" customHeight="1" x14ac:dyDescent="0.25">
      <c r="A22" s="192"/>
      <c r="B22" s="192"/>
      <c r="C22" s="192"/>
      <c r="D22" s="192"/>
      <c r="F22" s="192"/>
      <c r="G22" s="193"/>
      <c r="H22" s="192"/>
      <c r="I22" s="192"/>
      <c r="M22" s="190" t="s">
        <v>286</v>
      </c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Y22" s="269" t="s">
        <v>2</v>
      </c>
      <c r="Z22" s="269"/>
      <c r="AA22" s="269"/>
      <c r="AB22" s="269"/>
      <c r="AC22" s="269"/>
      <c r="AD22" s="269"/>
      <c r="AE22" s="269"/>
      <c r="AF22" s="269"/>
      <c r="AG22" s="269"/>
      <c r="AH22" s="269"/>
      <c r="AP22" s="137"/>
      <c r="AQ22" s="137"/>
      <c r="AR22" s="137"/>
      <c r="AS22" s="137"/>
      <c r="AT22" s="137"/>
      <c r="AU22" s="137"/>
      <c r="AV22" s="137"/>
      <c r="AW22" s="137"/>
      <c r="AX22" s="137"/>
      <c r="AY22" s="284"/>
      <c r="AZ22" s="287"/>
      <c r="BA22" s="287"/>
      <c r="BB22" s="273"/>
      <c r="BC22" s="311"/>
      <c r="BD22" s="296"/>
      <c r="BH22" s="32" t="s">
        <v>134</v>
      </c>
      <c r="BI22" s="40">
        <f>BI9+BI21</f>
        <v>45114</v>
      </c>
      <c r="BJ22" s="40">
        <f>BJ9+BJ21</f>
        <v>7384.9576666000185</v>
      </c>
      <c r="BK22" s="44">
        <f>BL22*1000000/365/24/BJ22</f>
        <v>0.32595861588401581</v>
      </c>
      <c r="BL22" s="42">
        <f>BL9+BL21</f>
        <v>21.08698947525486</v>
      </c>
      <c r="BM22" s="46">
        <f>BM9+BM21</f>
        <v>100</v>
      </c>
      <c r="BQ22" s="11" t="s">
        <v>37</v>
      </c>
      <c r="BR22" s="10">
        <v>1008</v>
      </c>
      <c r="BS22" s="12">
        <v>186.37601800000002</v>
      </c>
      <c r="BT22" s="38">
        <f t="shared" si="6"/>
        <v>0.38312347949211484</v>
      </c>
      <c r="BU22" s="49">
        <v>0.62550804974799457</v>
      </c>
      <c r="BV22" s="1"/>
      <c r="CA22" s="13" t="s">
        <v>34</v>
      </c>
      <c r="CB22" s="9">
        <v>310</v>
      </c>
      <c r="CC22" s="27">
        <v>1216.3776899999993</v>
      </c>
      <c r="CD22" s="64">
        <v>0.74774436624203222</v>
      </c>
      <c r="CE22" s="65">
        <f t="shared" si="7"/>
        <v>7.9675665886991709</v>
      </c>
      <c r="CF22" s="66"/>
      <c r="CL22" s="13" t="s">
        <v>34</v>
      </c>
      <c r="CM22" s="9">
        <v>310</v>
      </c>
      <c r="CN22" s="27">
        <v>1216.3776899999993</v>
      </c>
      <c r="CO22" s="64">
        <v>0.74774436624203222</v>
      </c>
      <c r="CP22" s="182">
        <v>7.9675665886991709</v>
      </c>
      <c r="CQ22" s="1"/>
      <c r="CV22" s="88" t="s">
        <v>65</v>
      </c>
      <c r="CW22" s="36">
        <v>0.43041999999999997</v>
      </c>
      <c r="CY22" s="94"/>
      <c r="CZ22" s="95"/>
      <c r="DE22" s="125" t="s">
        <v>46</v>
      </c>
      <c r="DF22" s="120">
        <v>2</v>
      </c>
      <c r="DG22" s="121">
        <v>10</v>
      </c>
      <c r="DH22" s="122">
        <v>0.91</v>
      </c>
      <c r="DI22" s="123">
        <v>7.9715999999999995E-2</v>
      </c>
      <c r="DJ22" s="98">
        <v>100</v>
      </c>
      <c r="DK22" s="99" t="s">
        <v>81</v>
      </c>
      <c r="DN22" s="327"/>
      <c r="DO22" s="329"/>
      <c r="DP22" s="327"/>
      <c r="DQ22" s="329"/>
      <c r="DR22" s="272"/>
      <c r="DS22" s="272"/>
      <c r="DT22" s="328" t="s">
        <v>28</v>
      </c>
      <c r="DU22" s="271" t="s">
        <v>15</v>
      </c>
      <c r="DV22" s="271" t="s">
        <v>102</v>
      </c>
      <c r="DY22" t="s">
        <v>87</v>
      </c>
      <c r="EA22" s="15"/>
    </row>
    <row r="23" spans="1:139" ht="12.75" customHeight="1" x14ac:dyDescent="0.25">
      <c r="A23" s="192"/>
      <c r="B23" s="192"/>
      <c r="C23" s="192"/>
      <c r="D23" s="192"/>
      <c r="E23" s="192"/>
      <c r="F23" s="192"/>
      <c r="G23" s="193"/>
      <c r="H23" s="192"/>
      <c r="I23" s="192"/>
      <c r="M23" s="190" t="s">
        <v>295</v>
      </c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Y23" s="269" t="s">
        <v>3</v>
      </c>
      <c r="Z23" s="269"/>
      <c r="AA23" s="269"/>
      <c r="AB23" s="269"/>
      <c r="AC23" s="269"/>
      <c r="AD23" s="269"/>
      <c r="AE23" s="269"/>
      <c r="AF23" s="269"/>
      <c r="AG23" s="269"/>
      <c r="AH23" s="269"/>
      <c r="AI23" s="351" t="s">
        <v>206</v>
      </c>
      <c r="AJ23" s="351"/>
      <c r="AK23" s="351"/>
      <c r="AL23" s="351"/>
      <c r="AM23" s="351"/>
      <c r="AN23" s="351"/>
      <c r="AO23" s="351"/>
      <c r="AP23" s="303" t="s">
        <v>257</v>
      </c>
      <c r="AQ23" s="304"/>
      <c r="AR23" s="304"/>
      <c r="AS23" s="304"/>
      <c r="AT23" s="304"/>
      <c r="AU23" s="304"/>
      <c r="AV23" s="305"/>
      <c r="AY23" s="6"/>
      <c r="BB23" s="218"/>
      <c r="BQ23" s="11" t="s">
        <v>49</v>
      </c>
      <c r="BR23" s="10">
        <v>12</v>
      </c>
      <c r="BS23" s="14">
        <v>50.2</v>
      </c>
      <c r="BT23" s="38">
        <f t="shared" si="6"/>
        <v>0.46595386805897016</v>
      </c>
      <c r="BU23" s="49">
        <v>0.20490414538666823</v>
      </c>
      <c r="BV23" s="1"/>
      <c r="CA23" s="13" t="s">
        <v>40</v>
      </c>
      <c r="CB23" s="68">
        <v>12</v>
      </c>
      <c r="CC23" s="63">
        <v>50.20000000000001</v>
      </c>
      <c r="CD23" s="64">
        <v>0.46837999999999996</v>
      </c>
      <c r="CE23" s="65">
        <f t="shared" si="7"/>
        <v>0.20597104176000006</v>
      </c>
      <c r="CF23" s="18"/>
      <c r="CL23" s="13" t="s">
        <v>40</v>
      </c>
      <c r="CM23" s="68">
        <v>12</v>
      </c>
      <c r="CN23" s="63">
        <v>50.20000000000001</v>
      </c>
      <c r="CO23" s="64">
        <v>0.46837999999999996</v>
      </c>
      <c r="CP23" s="182">
        <v>0.20597104176000006</v>
      </c>
      <c r="CQ23" s="1"/>
      <c r="CV23" s="88" t="s">
        <v>34</v>
      </c>
      <c r="CW23" s="36">
        <v>0.7478800000000001</v>
      </c>
      <c r="CY23" s="15" t="s">
        <v>66</v>
      </c>
      <c r="CZ23" s="136"/>
      <c r="DE23" s="280" t="s">
        <v>36</v>
      </c>
      <c r="DF23" s="101">
        <v>229</v>
      </c>
      <c r="DG23" s="102">
        <v>659.73999999999955</v>
      </c>
      <c r="DH23" s="36">
        <v>0.43041999999999997</v>
      </c>
      <c r="DI23" s="79">
        <v>2.4875359474079977</v>
      </c>
      <c r="DJ23" s="98">
        <v>81.495657037420884</v>
      </c>
      <c r="DK23" s="99" t="s">
        <v>81</v>
      </c>
      <c r="DN23" s="281"/>
      <c r="DO23" s="330"/>
      <c r="DP23" s="281"/>
      <c r="DQ23" s="330"/>
      <c r="DR23" s="273"/>
      <c r="DS23" s="273"/>
      <c r="DT23" s="330"/>
      <c r="DU23" s="273"/>
      <c r="DV23" s="273"/>
      <c r="DY23" t="s">
        <v>130</v>
      </c>
      <c r="EA23" s="15"/>
    </row>
    <row r="24" spans="1:139" ht="12.75" customHeight="1" x14ac:dyDescent="0.25">
      <c r="A24" s="192"/>
      <c r="B24" s="192"/>
      <c r="C24" s="192"/>
      <c r="D24" s="192"/>
      <c r="E24" s="192"/>
      <c r="F24" s="192"/>
      <c r="G24" s="193"/>
      <c r="H24" s="192"/>
      <c r="I24" s="192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Y24" s="269" t="s">
        <v>200</v>
      </c>
      <c r="Z24" s="269"/>
      <c r="AA24" s="269"/>
      <c r="AB24" s="269"/>
      <c r="AC24" s="269"/>
      <c r="AD24" s="269"/>
      <c r="AE24" s="269"/>
      <c r="AF24" s="269"/>
      <c r="AG24" s="269"/>
      <c r="AH24" s="269"/>
      <c r="AI24" s="351" t="s">
        <v>207</v>
      </c>
      <c r="AJ24" s="351"/>
      <c r="AK24" s="351"/>
      <c r="AL24" s="351"/>
      <c r="AM24" s="351"/>
      <c r="AN24" s="351"/>
      <c r="AO24" s="351"/>
      <c r="AP24" s="312" t="s">
        <v>110</v>
      </c>
      <c r="AQ24" s="315" t="s">
        <v>140</v>
      </c>
      <c r="AR24" s="316"/>
      <c r="AS24" s="271" t="s">
        <v>152</v>
      </c>
      <c r="AT24" s="274" t="s">
        <v>111</v>
      </c>
      <c r="AU24" s="275"/>
      <c r="AV24" s="271" t="s">
        <v>112</v>
      </c>
      <c r="AW24"/>
      <c r="AX24"/>
      <c r="AY24" s="306" t="s">
        <v>9</v>
      </c>
      <c r="AZ24" s="307"/>
      <c r="BA24" s="307"/>
      <c r="BB24" s="307"/>
      <c r="BC24" s="307"/>
      <c r="BD24" s="308"/>
      <c r="BH24" s="342" t="s">
        <v>43</v>
      </c>
      <c r="BI24" s="343"/>
      <c r="BJ24" s="343"/>
      <c r="BK24" s="343"/>
      <c r="BL24" s="343"/>
      <c r="BM24" s="344"/>
      <c r="BQ24" s="11" t="s">
        <v>41</v>
      </c>
      <c r="BR24" s="10">
        <v>2</v>
      </c>
      <c r="BS24" s="14">
        <v>24</v>
      </c>
      <c r="BT24" s="38">
        <f t="shared" si="6"/>
        <v>3.7072339642047217E-2</v>
      </c>
      <c r="BU24" s="49">
        <v>7.7940886863440062E-3</v>
      </c>
      <c r="BV24" s="1"/>
      <c r="BZ24" s="110"/>
      <c r="CA24" s="13" t="s">
        <v>41</v>
      </c>
      <c r="CB24" s="68">
        <v>2</v>
      </c>
      <c r="CC24" s="63">
        <v>24</v>
      </c>
      <c r="CD24" s="64">
        <v>3.707233964204721E-2</v>
      </c>
      <c r="CE24" s="65">
        <f t="shared" si="7"/>
        <v>7.7940886863440053E-3</v>
      </c>
      <c r="CF24" s="66"/>
      <c r="CL24" s="13" t="s">
        <v>41</v>
      </c>
      <c r="CM24" s="9">
        <v>4</v>
      </c>
      <c r="CN24" s="27">
        <v>51</v>
      </c>
      <c r="CO24" s="36">
        <v>3.707233964204721E-2</v>
      </c>
      <c r="CP24" s="145">
        <v>1.6562438458481012E-2</v>
      </c>
      <c r="CQ24" s="1"/>
      <c r="CV24" s="88" t="s">
        <v>40</v>
      </c>
      <c r="CW24" s="36">
        <v>0.46838000000000002</v>
      </c>
      <c r="CY24" s="225" t="s">
        <v>67</v>
      </c>
      <c r="DE24" s="327"/>
      <c r="DF24" s="101">
        <v>31</v>
      </c>
      <c r="DG24" s="102">
        <v>107.50000000000003</v>
      </c>
      <c r="DH24" s="36">
        <v>0.43041999999999997</v>
      </c>
      <c r="DI24" s="79">
        <v>0.40532651400000008</v>
      </c>
      <c r="DJ24" s="78">
        <v>13.279145013979379</v>
      </c>
      <c r="DK24" s="104" t="s">
        <v>82</v>
      </c>
      <c r="DN24" s="271" t="s">
        <v>30</v>
      </c>
      <c r="DO24" s="280" t="s">
        <v>90</v>
      </c>
      <c r="DP24" s="104" t="s">
        <v>81</v>
      </c>
      <c r="DQ24" s="1">
        <v>8</v>
      </c>
      <c r="DR24" s="2">
        <v>471.59999999999997</v>
      </c>
      <c r="DS24" s="36">
        <v>0.26432000000000005</v>
      </c>
      <c r="DT24" s="90">
        <f>DR24*365*24*DS24/1000000</f>
        <v>1.0919630131200002</v>
      </c>
      <c r="DU24" s="114">
        <f>100*DT24/59.122643</f>
        <v>1.8469455317144741</v>
      </c>
      <c r="DY24" t="s">
        <v>131</v>
      </c>
      <c r="EA24" s="15"/>
    </row>
    <row r="25" spans="1:139" ht="12.75" customHeight="1" x14ac:dyDescent="0.25">
      <c r="A25" s="192"/>
      <c r="B25" s="192"/>
      <c r="C25" s="192"/>
      <c r="D25" s="192"/>
      <c r="E25" s="192"/>
      <c r="F25" s="192"/>
      <c r="G25" s="193"/>
      <c r="H25" s="192"/>
      <c r="I25" s="192"/>
      <c r="M25" s="254" t="s">
        <v>285</v>
      </c>
      <c r="N25" s="254"/>
      <c r="O25" s="254"/>
      <c r="P25" s="254"/>
      <c r="Q25" s="254"/>
      <c r="R25" s="254"/>
      <c r="S25" s="254"/>
      <c r="T25" s="254"/>
      <c r="U25" s="254"/>
      <c r="V25" s="254"/>
      <c r="W25" s="137"/>
      <c r="Y25" s="351" t="s">
        <v>201</v>
      </c>
      <c r="Z25" s="351"/>
      <c r="AA25" s="351"/>
      <c r="AB25" s="351"/>
      <c r="AC25" s="351"/>
      <c r="AD25" s="351"/>
      <c r="AE25" s="351"/>
      <c r="AF25" s="351"/>
      <c r="AG25" s="351"/>
      <c r="AH25" s="351"/>
      <c r="AI25" s="351" t="s">
        <v>208</v>
      </c>
      <c r="AJ25" s="351"/>
      <c r="AK25" s="351"/>
      <c r="AL25" s="351"/>
      <c r="AM25" s="351"/>
      <c r="AN25" s="351"/>
      <c r="AO25" s="351"/>
      <c r="AP25" s="313"/>
      <c r="AQ25" s="317"/>
      <c r="AR25" s="318"/>
      <c r="AS25" s="272"/>
      <c r="AT25" s="276"/>
      <c r="AU25" s="277"/>
      <c r="AV25" s="272"/>
      <c r="AW25"/>
      <c r="AX25"/>
      <c r="AY25" s="297" t="s">
        <v>234</v>
      </c>
      <c r="AZ25" s="298"/>
      <c r="BA25" s="298"/>
      <c r="BB25" s="298"/>
      <c r="BC25" s="298"/>
      <c r="BD25" s="299"/>
      <c r="BH25" s="345" t="s">
        <v>217</v>
      </c>
      <c r="BI25" s="346"/>
      <c r="BJ25" s="346"/>
      <c r="BK25" s="346"/>
      <c r="BL25" s="346"/>
      <c r="BM25" s="347"/>
      <c r="BQ25" s="11" t="s">
        <v>47</v>
      </c>
      <c r="BR25" s="10">
        <v>4</v>
      </c>
      <c r="BS25" s="50">
        <v>10.5</v>
      </c>
      <c r="BT25" s="38">
        <f t="shared" si="6"/>
        <v>3.707233964204721E-2</v>
      </c>
      <c r="BU25" s="51">
        <v>3.4099138002755026E-3</v>
      </c>
      <c r="BV25" s="1"/>
      <c r="CA25" s="69" t="s">
        <v>39</v>
      </c>
      <c r="CB25" s="9">
        <v>860899</v>
      </c>
      <c r="CC25" s="27">
        <v>16755.303643999272</v>
      </c>
      <c r="CD25" s="64">
        <v>0.10819085229286617</v>
      </c>
      <c r="CE25" s="65">
        <f t="shared" si="7"/>
        <v>15.879870295429617</v>
      </c>
      <c r="CF25" s="66"/>
      <c r="CL25" s="69" t="s">
        <v>39</v>
      </c>
      <c r="CM25" s="9">
        <v>861144</v>
      </c>
      <c r="CN25" s="27">
        <v>21653.692258999272</v>
      </c>
      <c r="CO25" s="36">
        <v>0.10864535151345003</v>
      </c>
      <c r="CP25" s="145">
        <v>20.608539541697098</v>
      </c>
      <c r="CQ25" s="1"/>
      <c r="CV25" s="88" t="s">
        <v>39</v>
      </c>
      <c r="CW25" s="36">
        <v>0.11019999999999999</v>
      </c>
      <c r="CY25" s="15" t="s">
        <v>68</v>
      </c>
      <c r="DE25" s="327"/>
      <c r="DF25" s="101">
        <v>14</v>
      </c>
      <c r="DG25" s="102">
        <v>38.1</v>
      </c>
      <c r="DH25" s="36">
        <v>0.43041999999999997</v>
      </c>
      <c r="DI25" s="79">
        <v>0.14365525752</v>
      </c>
      <c r="DJ25" s="78">
        <v>4.7063760468150164</v>
      </c>
      <c r="DK25" s="104" t="s">
        <v>83</v>
      </c>
      <c r="DN25" s="272"/>
      <c r="DO25" s="327"/>
      <c r="DP25" s="100" t="s">
        <v>82</v>
      </c>
      <c r="DQ25" s="1">
        <v>111</v>
      </c>
      <c r="DR25" s="2">
        <v>11947.199999999999</v>
      </c>
      <c r="DS25" s="36">
        <v>0.26432000000000005</v>
      </c>
      <c r="DT25" s="90">
        <f>DR25*365*24*DS25/1000000</f>
        <v>27.663062999040008</v>
      </c>
      <c r="DU25" s="114">
        <f>100*DT25/59.122643</f>
        <v>46.789286803433349</v>
      </c>
      <c r="DV25" s="73">
        <v>63.358859591438453</v>
      </c>
      <c r="DY25" t="s">
        <v>229</v>
      </c>
      <c r="EA25" s="15"/>
    </row>
    <row r="26" spans="1:139" ht="12.75" customHeight="1" x14ac:dyDescent="0.25">
      <c r="A26" s="200"/>
      <c r="B26" s="192"/>
      <c r="C26" s="192"/>
      <c r="D26" s="192"/>
      <c r="E26" s="192"/>
      <c r="F26" s="192"/>
      <c r="G26" s="193"/>
      <c r="H26" s="192"/>
      <c r="I26" s="192"/>
      <c r="M26" s="254" t="s">
        <v>288</v>
      </c>
      <c r="N26" s="254"/>
      <c r="O26" s="254"/>
      <c r="P26" s="254"/>
      <c r="Q26" s="254"/>
      <c r="R26" s="254"/>
      <c r="S26" s="254"/>
      <c r="T26" s="254"/>
      <c r="U26" s="254"/>
      <c r="V26" s="254"/>
      <c r="W26" s="137"/>
      <c r="Y26" s="269" t="s">
        <v>253</v>
      </c>
      <c r="Z26" s="269"/>
      <c r="AA26" s="269"/>
      <c r="AB26" s="269"/>
      <c r="AC26" s="269"/>
      <c r="AD26" s="269"/>
      <c r="AE26" s="269"/>
      <c r="AF26" s="269"/>
      <c r="AG26" s="269"/>
      <c r="AH26" s="269"/>
      <c r="AI26" s="351" t="s">
        <v>209</v>
      </c>
      <c r="AJ26" s="351"/>
      <c r="AK26" s="351"/>
      <c r="AL26" s="351"/>
      <c r="AM26" s="351"/>
      <c r="AN26" s="351"/>
      <c r="AO26" s="351"/>
      <c r="AP26" s="313"/>
      <c r="AQ26" s="317"/>
      <c r="AR26" s="318"/>
      <c r="AS26" s="272"/>
      <c r="AT26" s="276"/>
      <c r="AU26" s="277"/>
      <c r="AV26" s="272"/>
      <c r="AW26"/>
      <c r="AX26"/>
      <c r="AY26" s="300"/>
      <c r="AZ26" s="301"/>
      <c r="BA26" s="301"/>
      <c r="BB26" s="301"/>
      <c r="BC26" s="301"/>
      <c r="BD26" s="302"/>
      <c r="BH26" s="348" t="s">
        <v>218</v>
      </c>
      <c r="BI26" s="349"/>
      <c r="BJ26" s="349"/>
      <c r="BK26" s="349"/>
      <c r="BL26" s="349"/>
      <c r="BM26" s="350"/>
      <c r="BQ26" s="31" t="s">
        <v>42</v>
      </c>
      <c r="BR26" s="43">
        <f>SUM(BR13:BR25)</f>
        <v>869252</v>
      </c>
      <c r="BS26" s="34">
        <f>SUM(BS13:BS25)</f>
        <v>25386.888419000119</v>
      </c>
      <c r="BT26" s="37">
        <f t="shared" si="6"/>
        <v>0.23485928642020013</v>
      </c>
      <c r="BU26" s="35">
        <v>52.230155326996751</v>
      </c>
      <c r="BV26" s="46">
        <f>100*BU26/(BU26+BU12)</f>
        <v>45.866076635849659</v>
      </c>
      <c r="BZ26" s="137"/>
      <c r="CA26" s="13" t="s">
        <v>47</v>
      </c>
      <c r="CB26" s="68">
        <v>11</v>
      </c>
      <c r="CC26" s="63">
        <v>172.9</v>
      </c>
      <c r="CD26" s="64">
        <v>3.707233964204721E-2</v>
      </c>
      <c r="CE26" s="65">
        <f t="shared" si="7"/>
        <v>5.6149913911203268E-2</v>
      </c>
      <c r="CF26" s="66"/>
      <c r="CL26" s="13" t="s">
        <v>47</v>
      </c>
      <c r="CM26" s="9">
        <v>12</v>
      </c>
      <c r="CN26" s="27">
        <v>272.89999999999998</v>
      </c>
      <c r="CO26" s="36">
        <v>3.707233964204721E-2</v>
      </c>
      <c r="CP26" s="145">
        <v>8.8625283437636621E-2</v>
      </c>
      <c r="CQ26" s="1"/>
      <c r="CV26" s="88" t="s">
        <v>69</v>
      </c>
      <c r="CW26" s="36">
        <v>3.707233964204721E-2</v>
      </c>
      <c r="CY26" s="15" t="s">
        <v>70</v>
      </c>
      <c r="DE26" s="281"/>
      <c r="DF26" s="101">
        <v>2</v>
      </c>
      <c r="DG26" s="102">
        <v>4.2</v>
      </c>
      <c r="DH26" s="36">
        <v>0.43041999999999997</v>
      </c>
      <c r="DI26" s="79">
        <v>1.5836012639999997E-2</v>
      </c>
      <c r="DJ26" s="78">
        <v>0.5188131075229151</v>
      </c>
      <c r="DK26" s="104" t="s">
        <v>84</v>
      </c>
      <c r="DN26" s="272"/>
      <c r="DO26" s="327"/>
      <c r="DP26" s="104" t="s">
        <v>83</v>
      </c>
      <c r="DQ26" s="1">
        <v>7</v>
      </c>
      <c r="DR26" s="118">
        <v>760.9</v>
      </c>
      <c r="DS26" s="36">
        <v>0.26432000000000005</v>
      </c>
      <c r="DT26" s="90">
        <f>DR26*365*24*DS26/1000000</f>
        <v>1.7618207308800005</v>
      </c>
      <c r="DU26" s="114">
        <f>100*DT26/59.122643</f>
        <v>2.9799424408005586</v>
      </c>
    </row>
    <row r="27" spans="1:139" ht="12.75" customHeight="1" x14ac:dyDescent="0.25">
      <c r="A27" s="200"/>
      <c r="B27" s="192"/>
      <c r="C27" s="192"/>
      <c r="D27" s="192"/>
      <c r="E27" s="192"/>
      <c r="F27" s="192"/>
      <c r="G27" s="193"/>
      <c r="H27" s="192"/>
      <c r="I27" s="192"/>
      <c r="M27" s="254" t="s">
        <v>287</v>
      </c>
      <c r="N27" s="254"/>
      <c r="O27" s="254"/>
      <c r="P27" s="254"/>
      <c r="Q27" s="254"/>
      <c r="R27" s="254"/>
      <c r="S27" s="254"/>
      <c r="T27" s="254"/>
      <c r="U27" s="254"/>
      <c r="V27" s="254"/>
      <c r="W27" s="137"/>
      <c r="Y27" s="137" t="s">
        <v>252</v>
      </c>
      <c r="Z27" s="137"/>
      <c r="AA27" s="137"/>
      <c r="AB27" s="137"/>
      <c r="AC27" s="137"/>
      <c r="AD27" s="137"/>
      <c r="AE27" s="137"/>
      <c r="AF27" s="137"/>
      <c r="AG27" s="137"/>
      <c r="AH27" s="137"/>
      <c r="AI27" s="351" t="s">
        <v>284</v>
      </c>
      <c r="AJ27" s="351"/>
      <c r="AK27" s="351"/>
      <c r="AL27" s="351"/>
      <c r="AM27" s="351"/>
      <c r="AN27" s="351"/>
      <c r="AO27" s="351"/>
      <c r="AP27" s="313"/>
      <c r="AQ27" s="319"/>
      <c r="AR27" s="320"/>
      <c r="AS27" s="273"/>
      <c r="AT27" s="278"/>
      <c r="AU27" s="279"/>
      <c r="AV27" s="273"/>
      <c r="AW27"/>
      <c r="AX27"/>
      <c r="AY27" s="271" t="s">
        <v>10</v>
      </c>
      <c r="AZ27" s="271" t="s">
        <v>11</v>
      </c>
      <c r="BA27" s="271" t="s">
        <v>24</v>
      </c>
      <c r="BB27" s="271" t="s">
        <v>290</v>
      </c>
      <c r="BC27" s="274" t="s">
        <v>13</v>
      </c>
      <c r="BD27" s="275"/>
      <c r="BH27" s="280" t="s">
        <v>23</v>
      </c>
      <c r="BI27" s="328" t="s">
        <v>24</v>
      </c>
      <c r="BJ27" s="328" t="s">
        <v>25</v>
      </c>
      <c r="BK27" s="328" t="s">
        <v>26</v>
      </c>
      <c r="BL27" s="336" t="s">
        <v>27</v>
      </c>
      <c r="BM27" s="337"/>
      <c r="BN27" s="217"/>
      <c r="BQ27" s="32" t="s">
        <v>118</v>
      </c>
      <c r="BR27" s="43">
        <f>BR12+BR26</f>
        <v>869342</v>
      </c>
      <c r="BS27" s="134">
        <f>BS12+BS26</f>
        <v>42899.388419000119</v>
      </c>
      <c r="BT27" s="76">
        <f>BU27*1000000/365/24/BS27</f>
        <v>0.30302224958896573</v>
      </c>
      <c r="BU27" s="135">
        <f>BU12+BU26</f>
        <v>113.87535005811426</v>
      </c>
      <c r="BV27" s="119">
        <f>BV12+BV26</f>
        <v>100</v>
      </c>
      <c r="CA27" s="13" t="s">
        <v>33</v>
      </c>
      <c r="CB27" s="68">
        <v>97</v>
      </c>
      <c r="CC27" s="63">
        <v>1969.1999999999998</v>
      </c>
      <c r="CD27" s="64">
        <v>0.36019999999999974</v>
      </c>
      <c r="CE27" s="65">
        <f t="shared" si="7"/>
        <v>6.2135191583999942</v>
      </c>
      <c r="CF27" s="66"/>
      <c r="CL27" s="13" t="s">
        <v>33</v>
      </c>
      <c r="CM27" s="68">
        <v>107</v>
      </c>
      <c r="CN27" s="63">
        <v>2174.9499999999998</v>
      </c>
      <c r="CO27" s="64">
        <v>0.36019999999999974</v>
      </c>
      <c r="CP27" s="182">
        <v>6.8627328323999937</v>
      </c>
      <c r="CQ27" s="1"/>
      <c r="CV27" s="88" t="s">
        <v>31</v>
      </c>
      <c r="CW27" s="36">
        <v>0.39923999999999998</v>
      </c>
      <c r="DE27" s="362" t="s">
        <v>32</v>
      </c>
      <c r="DF27" s="120">
        <v>20</v>
      </c>
      <c r="DG27" s="121">
        <v>422.59999999999997</v>
      </c>
      <c r="DH27" s="122">
        <v>0.35518</v>
      </c>
      <c r="DI27" s="123">
        <v>1.3148678356799999</v>
      </c>
      <c r="DJ27" s="98">
        <v>62.092272993568663</v>
      </c>
      <c r="DK27" s="99" t="s">
        <v>82</v>
      </c>
      <c r="DN27" s="272"/>
      <c r="DO27" s="327"/>
      <c r="DP27" s="104" t="s">
        <v>95</v>
      </c>
      <c r="DQ27" s="1">
        <v>1</v>
      </c>
      <c r="DR27" s="2">
        <v>54</v>
      </c>
      <c r="DS27" s="36">
        <v>0.26432000000000005</v>
      </c>
      <c r="DT27" s="90">
        <f>DR27*365*24*DS27/1000000</f>
        <v>0.12503393280000002</v>
      </c>
      <c r="DU27" s="114">
        <f>100*DT27/59.122643</f>
        <v>0.21148231279173368</v>
      </c>
      <c r="DY27" s="97" t="s">
        <v>230</v>
      </c>
      <c r="DZ27" s="97"/>
      <c r="EA27" s="248"/>
      <c r="EB27" s="97"/>
      <c r="EC27" s="97"/>
    </row>
    <row r="28" spans="1:139" ht="12.75" customHeight="1" x14ac:dyDescent="0.25">
      <c r="A28" s="200"/>
      <c r="B28" s="192"/>
      <c r="C28" s="192"/>
      <c r="D28" s="192"/>
      <c r="E28" s="192"/>
      <c r="F28" s="192"/>
      <c r="G28" s="193"/>
      <c r="H28" s="192"/>
      <c r="I28" s="192"/>
      <c r="M28" s="254" t="s">
        <v>296</v>
      </c>
      <c r="N28" s="254"/>
      <c r="O28" s="254"/>
      <c r="P28" s="254"/>
      <c r="Q28" s="254"/>
      <c r="R28" s="254"/>
      <c r="S28" s="137"/>
      <c r="T28" s="137"/>
      <c r="U28" s="137"/>
      <c r="V28" s="137"/>
      <c r="W28" s="137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15" t="s">
        <v>283</v>
      </c>
      <c r="AP28" s="314"/>
      <c r="AQ28" s="140" t="s">
        <v>14</v>
      </c>
      <c r="AR28" s="140" t="s">
        <v>113</v>
      </c>
      <c r="AS28" s="155" t="s">
        <v>14</v>
      </c>
      <c r="AT28" s="155" t="s">
        <v>113</v>
      </c>
      <c r="AU28" s="104" t="s">
        <v>14</v>
      </c>
      <c r="AV28" s="104" t="s">
        <v>14</v>
      </c>
      <c r="AW28"/>
      <c r="AX28"/>
      <c r="AY28" s="272"/>
      <c r="AZ28" s="272"/>
      <c r="BA28" s="272"/>
      <c r="BB28" s="272"/>
      <c r="BC28" s="276"/>
      <c r="BD28" s="277"/>
      <c r="BH28" s="327"/>
      <c r="BI28" s="329"/>
      <c r="BJ28" s="329"/>
      <c r="BK28" s="329"/>
      <c r="BL28" s="328" t="s">
        <v>28</v>
      </c>
      <c r="BM28" s="271" t="s">
        <v>29</v>
      </c>
      <c r="BN28" s="215"/>
      <c r="BQ28" s="52"/>
      <c r="BR28" s="52"/>
      <c r="BS28" s="52"/>
      <c r="BT28" s="53"/>
      <c r="BU28" s="52"/>
      <c r="CA28" s="13" t="s">
        <v>31</v>
      </c>
      <c r="CB28" s="68">
        <v>23</v>
      </c>
      <c r="CC28" s="63">
        <v>1348.4</v>
      </c>
      <c r="CD28" s="64">
        <v>0.39924000000000004</v>
      </c>
      <c r="CE28" s="65">
        <f t="shared" si="7"/>
        <v>4.715816492160001</v>
      </c>
      <c r="CF28" s="66"/>
      <c r="CL28" s="13" t="s">
        <v>31</v>
      </c>
      <c r="CM28" s="68">
        <v>23</v>
      </c>
      <c r="CN28" s="240">
        <v>1348.4</v>
      </c>
      <c r="CO28" s="64">
        <v>0.39924000000000004</v>
      </c>
      <c r="CP28" s="182">
        <v>4.715816492160001</v>
      </c>
      <c r="CQ28" s="1"/>
      <c r="CS28" s="238"/>
      <c r="CV28" s="88" t="s">
        <v>30</v>
      </c>
      <c r="CW28" s="36">
        <v>0.26432000000000005</v>
      </c>
      <c r="DE28" s="363"/>
      <c r="DF28" s="120">
        <v>3</v>
      </c>
      <c r="DG28" s="121">
        <v>216.1</v>
      </c>
      <c r="DH28" s="122">
        <v>0.35518</v>
      </c>
      <c r="DI28" s="123">
        <v>0.6723685264799999</v>
      </c>
      <c r="DJ28" s="124">
        <v>31.751396578112136</v>
      </c>
      <c r="DK28" s="125" t="s">
        <v>81</v>
      </c>
      <c r="DN28" s="272"/>
      <c r="DO28" s="281"/>
      <c r="DP28" s="128" t="s">
        <v>91</v>
      </c>
      <c r="DQ28" s="117">
        <f>SUM(DQ24:DQ27)</f>
        <v>127</v>
      </c>
      <c r="DR28" s="93">
        <f>SUM(DR24:DR27)</f>
        <v>13233.699999999999</v>
      </c>
      <c r="DS28" s="83">
        <v>0.26432000000000005</v>
      </c>
      <c r="DT28" s="84">
        <f t="shared" ref="DT28:DT38" si="8">DR28*365*24*DS28/1000000</f>
        <v>30.641880675840007</v>
      </c>
      <c r="DU28" s="46">
        <f t="shared" ref="DU28:DU38" si="9">100*DT28/59.122643</f>
        <v>51.827657088740111</v>
      </c>
    </row>
    <row r="29" spans="1:139" ht="12.75" customHeight="1" x14ac:dyDescent="0.25">
      <c r="A29" s="200"/>
      <c r="B29" s="192"/>
      <c r="C29" s="192"/>
      <c r="D29" s="192"/>
      <c r="E29" s="192"/>
      <c r="F29" s="192"/>
      <c r="G29" s="193"/>
      <c r="H29" s="192"/>
      <c r="I29" s="192"/>
      <c r="M29" s="254" t="s">
        <v>289</v>
      </c>
      <c r="Y29" s="352" t="s">
        <v>210</v>
      </c>
      <c r="Z29" s="352"/>
      <c r="AA29" s="352"/>
      <c r="AB29" s="352"/>
      <c r="AC29" s="352"/>
      <c r="AD29" s="352"/>
      <c r="AE29" s="352"/>
      <c r="AF29" s="352"/>
      <c r="AG29" s="352"/>
      <c r="AH29" s="352"/>
      <c r="AI29" s="351"/>
      <c r="AJ29" s="351"/>
      <c r="AK29" s="351"/>
      <c r="AL29" s="351"/>
      <c r="AM29" s="351"/>
      <c r="AN29" s="351"/>
      <c r="AO29" s="351"/>
      <c r="AP29" s="142" t="s">
        <v>114</v>
      </c>
      <c r="AQ29" s="143">
        <v>280.01323846940039</v>
      </c>
      <c r="AR29" s="219">
        <f>100*AQ29/AQ29</f>
        <v>100</v>
      </c>
      <c r="AS29" s="144">
        <v>676.75062940472981</v>
      </c>
      <c r="AT29" s="54">
        <v>70</v>
      </c>
      <c r="AU29" s="144">
        <f>AS29*AT29/100</f>
        <v>473.72544058331084</v>
      </c>
      <c r="AV29" s="144">
        <f>AS29-AU29</f>
        <v>203.02518882141896</v>
      </c>
      <c r="AW29"/>
      <c r="AX29"/>
      <c r="AY29" s="272"/>
      <c r="AZ29" s="272"/>
      <c r="BA29" s="272"/>
      <c r="BB29" s="272"/>
      <c r="BC29" s="278"/>
      <c r="BD29" s="279"/>
      <c r="BH29" s="281"/>
      <c r="BI29" s="330"/>
      <c r="BJ29" s="330"/>
      <c r="BK29" s="330"/>
      <c r="BL29" s="330"/>
      <c r="BM29" s="273"/>
      <c r="BQ29" s="342" t="s">
        <v>43</v>
      </c>
      <c r="BR29" s="343"/>
      <c r="BS29" s="343"/>
      <c r="BT29" s="343"/>
      <c r="BU29" s="343"/>
      <c r="BV29" s="344"/>
      <c r="CA29" s="13" t="s">
        <v>30</v>
      </c>
      <c r="CB29" s="70">
        <v>7500</v>
      </c>
      <c r="CC29" s="27">
        <v>11542.058219999981</v>
      </c>
      <c r="CD29" s="64">
        <v>0.26438369843505349</v>
      </c>
      <c r="CE29" s="65">
        <f t="shared" si="7"/>
        <v>26.73142066826523</v>
      </c>
      <c r="CF29" s="66"/>
      <c r="CL29" s="69" t="s">
        <v>30</v>
      </c>
      <c r="CM29" s="70">
        <v>7591</v>
      </c>
      <c r="CN29" s="27">
        <v>12795.608519999982</v>
      </c>
      <c r="CO29" s="36">
        <v>0.26437745807592977</v>
      </c>
      <c r="CP29" s="145">
        <v>29.633945186258192</v>
      </c>
      <c r="CQ29" s="1"/>
      <c r="CV29" s="97"/>
      <c r="DE29" s="364"/>
      <c r="DF29" s="120">
        <v>2</v>
      </c>
      <c r="DG29" s="121">
        <v>41.9</v>
      </c>
      <c r="DH29" s="122">
        <v>0.35518</v>
      </c>
      <c r="DI29" s="123">
        <v>0.13036668792</v>
      </c>
      <c r="DJ29" s="124">
        <v>6.1563327932572829</v>
      </c>
      <c r="DK29" s="125" t="s">
        <v>83</v>
      </c>
      <c r="DN29" s="272"/>
      <c r="DO29" s="280" t="s">
        <v>92</v>
      </c>
      <c r="DP29" s="104" t="s">
        <v>81</v>
      </c>
      <c r="DQ29" s="141">
        <v>288</v>
      </c>
      <c r="DR29" s="2">
        <v>2528.4002999999993</v>
      </c>
      <c r="DS29" s="36">
        <v>0.26432000000000005</v>
      </c>
      <c r="DT29" s="90">
        <f t="shared" si="8"/>
        <v>5.8543672815129595</v>
      </c>
      <c r="DU29" s="114">
        <f t="shared" si="9"/>
        <v>9.9020730205057976</v>
      </c>
    </row>
    <row r="30" spans="1:139" ht="12.75" customHeight="1" x14ac:dyDescent="0.25">
      <c r="A30" s="192"/>
      <c r="B30" s="192"/>
      <c r="C30" s="192"/>
      <c r="D30" s="192"/>
      <c r="E30" s="192"/>
      <c r="F30" s="192"/>
      <c r="G30" s="193"/>
      <c r="H30" s="192"/>
      <c r="I30" s="192"/>
      <c r="M30" s="254" t="s">
        <v>297</v>
      </c>
      <c r="N30" s="242"/>
      <c r="O30" s="242"/>
      <c r="P30" s="242"/>
      <c r="Q30" s="242"/>
      <c r="R30" s="242"/>
      <c r="S30" s="242"/>
      <c r="T30" s="242"/>
      <c r="Y30" s="352" t="s">
        <v>298</v>
      </c>
      <c r="Z30" s="352"/>
      <c r="AA30" s="352"/>
      <c r="AB30" s="352"/>
      <c r="AC30" s="352"/>
      <c r="AD30" s="352"/>
      <c r="AE30" s="352"/>
      <c r="AF30" s="352"/>
      <c r="AG30" s="352"/>
      <c r="AH30" s="352"/>
      <c r="AI30" s="351" t="s">
        <v>160</v>
      </c>
      <c r="AJ30" s="351"/>
      <c r="AK30" s="351"/>
      <c r="AL30" s="351"/>
      <c r="AM30" s="351"/>
      <c r="AN30" s="351"/>
      <c r="AO30" s="351"/>
      <c r="AP30" s="142" t="s">
        <v>115</v>
      </c>
      <c r="AQ30" s="72">
        <v>230.14033691000046</v>
      </c>
      <c r="AR30" s="54">
        <f>100*AQ30/AQ29</f>
        <v>82.18909154723768</v>
      </c>
      <c r="AS30" s="144">
        <f>AS29*AR30/100</f>
        <v>556.21519434796062</v>
      </c>
      <c r="AT30" s="54">
        <v>70</v>
      </c>
      <c r="AU30" s="144">
        <f t="shared" ref="AU30:AU32" si="10">AS30*AT30/100</f>
        <v>389.35063604357242</v>
      </c>
      <c r="AV30" s="144">
        <f t="shared" ref="AV30:AV32" si="11">AS30-AU30</f>
        <v>166.8645583043882</v>
      </c>
      <c r="AW30"/>
      <c r="AX30"/>
      <c r="AY30" s="272"/>
      <c r="AZ30" s="272"/>
      <c r="BA30" s="272"/>
      <c r="BB30" s="272"/>
      <c r="BC30" s="280" t="s">
        <v>14</v>
      </c>
      <c r="BD30" s="271" t="s">
        <v>15</v>
      </c>
      <c r="BH30" s="13" t="s">
        <v>31</v>
      </c>
      <c r="BI30" s="9">
        <v>12</v>
      </c>
      <c r="BJ30" s="17">
        <v>3830.2</v>
      </c>
      <c r="BK30" s="36">
        <v>0.39923999999999998</v>
      </c>
      <c r="BL30" s="2">
        <v>13.39552086048</v>
      </c>
      <c r="BM30" s="19"/>
      <c r="BQ30" s="338" t="s">
        <v>221</v>
      </c>
      <c r="BR30" s="339"/>
      <c r="BS30" s="339"/>
      <c r="BT30" s="339"/>
      <c r="BU30" s="339"/>
      <c r="BV30" s="340"/>
      <c r="CA30" s="31" t="s">
        <v>42</v>
      </c>
      <c r="CB30" s="43">
        <f>SUM(CB16:CB29)</f>
        <v>870521</v>
      </c>
      <c r="CC30" s="34">
        <f>SUM(CC16:CC29)</f>
        <v>35682.550551999258</v>
      </c>
      <c r="CD30" s="37">
        <f>CE30*1000000/365/24/CC30</f>
        <v>0.23968927441540766</v>
      </c>
      <c r="CE30" s="67">
        <f>SUM(CE16:CE29)</f>
        <v>74.921867943634297</v>
      </c>
      <c r="CF30" s="46">
        <f>100*CE30/(CE30+CE15)</f>
        <v>35.80403894249924</v>
      </c>
      <c r="CL30" s="178" t="s">
        <v>42</v>
      </c>
      <c r="CM30" s="74">
        <f>SUM(CM16:CM29)</f>
        <v>870883</v>
      </c>
      <c r="CN30" s="75">
        <f>SUM(CN16:CN29)</f>
        <v>42229.929466999252</v>
      </c>
      <c r="CO30" s="37">
        <f>CP30*1000000/365/24/CN30</f>
        <v>0.22591841230421242</v>
      </c>
      <c r="CP30" s="183">
        <f>SUM(CP16:CP29)</f>
        <v>83.574943084073311</v>
      </c>
      <c r="CQ30" s="46">
        <f>100*CP30/(CP30+CP15)</f>
        <v>35.223295406288095</v>
      </c>
      <c r="CV30" s="15" t="s">
        <v>71</v>
      </c>
      <c r="DE30" s="271" t="s">
        <v>40</v>
      </c>
      <c r="DF30" s="101">
        <v>11</v>
      </c>
      <c r="DG30" s="102">
        <v>44.70000000000001</v>
      </c>
      <c r="DH30" s="36">
        <v>0.46838000000000002</v>
      </c>
      <c r="DI30" s="79">
        <v>0.18340449336000006</v>
      </c>
      <c r="DJ30" s="105">
        <v>89.043842754562576</v>
      </c>
      <c r="DK30" s="106" t="s">
        <v>81</v>
      </c>
      <c r="DN30" s="272"/>
      <c r="DO30" s="327"/>
      <c r="DP30" s="100" t="s">
        <v>82</v>
      </c>
      <c r="DQ30" s="1">
        <v>422</v>
      </c>
      <c r="DR30" s="2">
        <v>6909.199999999998</v>
      </c>
      <c r="DS30" s="36">
        <v>0.26432000000000005</v>
      </c>
      <c r="DT30" s="90">
        <f t="shared" si="8"/>
        <v>15.997860157439998</v>
      </c>
      <c r="DU30" s="114">
        <f t="shared" si="9"/>
        <v>27.058770287789738</v>
      </c>
      <c r="DV30" s="73">
        <v>36.641140408561533</v>
      </c>
    </row>
    <row r="31" spans="1:139" ht="12.75" customHeight="1" x14ac:dyDescent="0.25">
      <c r="A31" s="192"/>
      <c r="B31" s="201"/>
      <c r="C31" s="192"/>
      <c r="D31" s="192"/>
      <c r="E31" s="192"/>
      <c r="F31" s="192"/>
      <c r="G31" s="193"/>
      <c r="H31" s="192"/>
      <c r="I31" s="192"/>
      <c r="M31" s="137"/>
      <c r="Y31" s="352" t="s">
        <v>211</v>
      </c>
      <c r="Z31" s="352"/>
      <c r="AA31" s="352"/>
      <c r="AB31" s="352"/>
      <c r="AC31" s="352"/>
      <c r="AD31" s="352"/>
      <c r="AE31" s="352"/>
      <c r="AF31" s="352"/>
      <c r="AG31" s="352"/>
      <c r="AH31" s="352"/>
      <c r="AI31" s="351" t="s">
        <v>159</v>
      </c>
      <c r="AJ31" s="351"/>
      <c r="AK31" s="351"/>
      <c r="AL31" s="351"/>
      <c r="AM31" s="351"/>
      <c r="AN31" s="351"/>
      <c r="AO31" s="351"/>
      <c r="AP31" s="259" t="s">
        <v>117</v>
      </c>
      <c r="AQ31" s="260">
        <v>1.5877874314999993</v>
      </c>
      <c r="AR31" s="261">
        <f>100*AQ31/AQ29</f>
        <v>0.56704013002353515</v>
      </c>
      <c r="AS31" s="262">
        <f>AS29*AR31/100</f>
        <v>3.837447648911672</v>
      </c>
      <c r="AT31" s="261">
        <v>70</v>
      </c>
      <c r="AU31" s="262">
        <f>AS31*AT31/100</f>
        <v>2.6862133542381703</v>
      </c>
      <c r="AV31" s="262">
        <f>AS31-AU31</f>
        <v>1.1512342946735017</v>
      </c>
      <c r="AW31"/>
      <c r="AX31"/>
      <c r="AY31" s="273"/>
      <c r="AZ31" s="273"/>
      <c r="BA31" s="273"/>
      <c r="BB31" s="273"/>
      <c r="BC31" s="281"/>
      <c r="BD31" s="273"/>
      <c r="BH31" s="13" t="s">
        <v>30</v>
      </c>
      <c r="BI31" s="9">
        <v>35</v>
      </c>
      <c r="BJ31" s="17">
        <v>3384.2000000000003</v>
      </c>
      <c r="BK31" s="36">
        <v>0.26432000000000005</v>
      </c>
      <c r="BL31" s="2">
        <v>7.8359228774400016</v>
      </c>
      <c r="BM31" s="20"/>
      <c r="BQ31" s="280" t="s">
        <v>23</v>
      </c>
      <c r="BR31" s="328" t="s">
        <v>24</v>
      </c>
      <c r="BS31" s="328" t="s">
        <v>25</v>
      </c>
      <c r="BT31" s="328" t="s">
        <v>26</v>
      </c>
      <c r="BU31" s="336" t="s">
        <v>27</v>
      </c>
      <c r="BV31" s="337"/>
      <c r="CA31" s="32" t="s">
        <v>118</v>
      </c>
      <c r="CB31" s="43">
        <f>CB15+CB30</f>
        <v>870674</v>
      </c>
      <c r="CC31" s="34">
        <f>CC15+CC30</f>
        <v>75020.050551999258</v>
      </c>
      <c r="CD31" s="37">
        <f>CE31*1000000/365/24/CC31</f>
        <v>0.31841617215690704</v>
      </c>
      <c r="CE31" s="67">
        <f>CE15+CE30</f>
        <v>209.25535262643893</v>
      </c>
      <c r="CF31" s="46">
        <f>CF15+CF30</f>
        <v>100</v>
      </c>
      <c r="CG31" s="110"/>
      <c r="CL31" s="178" t="s">
        <v>118</v>
      </c>
      <c r="CM31" s="74">
        <f>CM15+CM30</f>
        <v>871074</v>
      </c>
      <c r="CN31" s="181">
        <f>CN15+CN30</f>
        <v>88701.029466999244</v>
      </c>
      <c r="CO31" s="37">
        <f>CP31*1000000/365/24/CN31</f>
        <v>0.30536083743096176</v>
      </c>
      <c r="CP31" s="67">
        <f>CP15+CP30</f>
        <v>237.27178879791424</v>
      </c>
      <c r="CQ31" s="184">
        <f>CQ15+CQ30</f>
        <v>100</v>
      </c>
      <c r="CR31" s="179"/>
      <c r="CS31" s="244"/>
      <c r="CU31" s="180"/>
      <c r="CV31" s="226" t="s">
        <v>72</v>
      </c>
      <c r="DE31" s="273"/>
      <c r="DF31" s="101">
        <v>1</v>
      </c>
      <c r="DG31" s="102">
        <v>5.5</v>
      </c>
      <c r="DH31" s="36">
        <v>0.46838000000000002</v>
      </c>
      <c r="DI31" s="79">
        <v>2.2566548400000001E-2</v>
      </c>
      <c r="DJ31" s="78">
        <v>10.956177520136331</v>
      </c>
      <c r="DK31" s="104" t="s">
        <v>83</v>
      </c>
      <c r="DN31" s="272"/>
      <c r="DO31" s="327"/>
      <c r="DP31" s="104" t="s">
        <v>83</v>
      </c>
      <c r="DQ31" s="1">
        <v>88</v>
      </c>
      <c r="DR31" s="2">
        <v>1109.5999999999997</v>
      </c>
      <c r="DS31" s="36">
        <v>0.26432000000000005</v>
      </c>
      <c r="DT31" s="90">
        <f t="shared" si="8"/>
        <v>2.5692157747199995</v>
      </c>
      <c r="DU31" s="114">
        <f t="shared" si="9"/>
        <v>4.3455698939575482</v>
      </c>
      <c r="ED31"/>
      <c r="EE31"/>
      <c r="EF31"/>
      <c r="EG31"/>
      <c r="EH31"/>
      <c r="EI31"/>
    </row>
    <row r="32" spans="1:139" ht="12.75" customHeight="1" x14ac:dyDescent="0.25">
      <c r="A32" s="192"/>
      <c r="B32" s="200"/>
      <c r="C32" s="192"/>
      <c r="D32" s="192"/>
      <c r="E32" s="192"/>
      <c r="F32" s="192"/>
      <c r="G32" s="193"/>
      <c r="H32" s="192"/>
      <c r="I32" s="192"/>
      <c r="M32" s="137"/>
      <c r="Y32" s="352" t="s">
        <v>212</v>
      </c>
      <c r="Z32" s="352"/>
      <c r="AA32" s="352"/>
      <c r="AB32" s="352"/>
      <c r="AC32" s="352"/>
      <c r="AD32" s="352"/>
      <c r="AE32" s="352"/>
      <c r="AF32" s="352"/>
      <c r="AG32" s="352"/>
      <c r="AH32" s="352"/>
      <c r="AI32" s="351" t="s">
        <v>158</v>
      </c>
      <c r="AJ32" s="351"/>
      <c r="AK32" s="351"/>
      <c r="AL32" s="351"/>
      <c r="AM32" s="351"/>
      <c r="AN32" s="351"/>
      <c r="AO32" s="351"/>
      <c r="AP32" s="142" t="s">
        <v>116</v>
      </c>
      <c r="AQ32" s="143">
        <v>1.4728910621999975</v>
      </c>
      <c r="AR32" s="219">
        <f>100*AQ32/AQ29</f>
        <v>0.5260076524421019</v>
      </c>
      <c r="AS32" s="144">
        <f>AS29*AR32/100</f>
        <v>3.5597600986189684</v>
      </c>
      <c r="AT32" s="54">
        <v>70</v>
      </c>
      <c r="AU32" s="144">
        <f t="shared" si="10"/>
        <v>2.4918320690332778</v>
      </c>
      <c r="AV32" s="144">
        <f t="shared" si="11"/>
        <v>1.0679280295856906</v>
      </c>
      <c r="AW32"/>
      <c r="AX32"/>
      <c r="AY32" s="282" t="s">
        <v>22</v>
      </c>
      <c r="AZ32" s="1">
        <v>2</v>
      </c>
      <c r="BA32" s="4">
        <v>45091</v>
      </c>
      <c r="BB32" s="245" t="s">
        <v>16</v>
      </c>
      <c r="BC32" s="50">
        <v>14.46076740981486</v>
      </c>
      <c r="BD32" s="5">
        <v>68.576727971454901</v>
      </c>
      <c r="BH32" s="13" t="s">
        <v>34</v>
      </c>
      <c r="BI32" s="9">
        <v>3</v>
      </c>
      <c r="BJ32" s="17">
        <v>414.4</v>
      </c>
      <c r="BK32" s="45">
        <v>0.7478800000000001</v>
      </c>
      <c r="BL32" s="2">
        <v>2.7149120947200003</v>
      </c>
      <c r="BM32" s="20"/>
      <c r="BQ32" s="327"/>
      <c r="BR32" s="329"/>
      <c r="BS32" s="329"/>
      <c r="BT32" s="329"/>
      <c r="BU32" s="328" t="s">
        <v>28</v>
      </c>
      <c r="BV32" s="271" t="s">
        <v>29</v>
      </c>
      <c r="CL32"/>
      <c r="CM32"/>
      <c r="CN32"/>
      <c r="CO32"/>
      <c r="CP32"/>
      <c r="CQ32"/>
      <c r="CR32" s="77"/>
      <c r="CV32" s="226" t="s">
        <v>73</v>
      </c>
      <c r="DE32" s="362" t="s">
        <v>85</v>
      </c>
      <c r="DF32" s="120">
        <v>1</v>
      </c>
      <c r="DG32" s="121">
        <v>23</v>
      </c>
      <c r="DH32" s="122">
        <v>3.707233964204721E-2</v>
      </c>
      <c r="DI32" s="123">
        <v>7.4693349910796725E-3</v>
      </c>
      <c r="DJ32" s="98">
        <v>45.099233130537812</v>
      </c>
      <c r="DK32" s="99" t="s">
        <v>81</v>
      </c>
      <c r="DN32" s="272"/>
      <c r="DO32" s="327"/>
      <c r="DP32" s="104" t="s">
        <v>95</v>
      </c>
      <c r="DQ32" s="1">
        <v>204</v>
      </c>
      <c r="DR32" s="2">
        <v>1753.1499999999987</v>
      </c>
      <c r="DS32" s="36">
        <v>0.26432000000000005</v>
      </c>
      <c r="DT32" s="90">
        <f t="shared" si="8"/>
        <v>4.0593192460799985</v>
      </c>
      <c r="DU32" s="114">
        <f t="shared" si="9"/>
        <v>6.8659299383486605</v>
      </c>
      <c r="ED32"/>
      <c r="EE32"/>
      <c r="EF32"/>
      <c r="EG32"/>
      <c r="EH32"/>
      <c r="EI32"/>
    </row>
    <row r="33" spans="1:139" ht="12.75" customHeight="1" x14ac:dyDescent="0.25">
      <c r="A33" s="192"/>
      <c r="B33" s="192"/>
      <c r="C33" s="192"/>
      <c r="D33" s="192"/>
      <c r="E33" s="192"/>
      <c r="F33" s="192"/>
      <c r="G33" s="193"/>
      <c r="H33" s="192"/>
      <c r="I33" s="192"/>
      <c r="Y33" s="352" t="s">
        <v>213</v>
      </c>
      <c r="Z33" s="373"/>
      <c r="AA33" s="373"/>
      <c r="AB33" s="373"/>
      <c r="AC33" s="373"/>
      <c r="AD33" s="373"/>
      <c r="AE33" s="373"/>
      <c r="AF33" s="373"/>
      <c r="AG33" s="373"/>
      <c r="AH33" s="373"/>
      <c r="AI33" s="351" t="s">
        <v>157</v>
      </c>
      <c r="AJ33" s="351"/>
      <c r="AK33" s="351"/>
      <c r="AL33" s="351"/>
      <c r="AM33" s="351"/>
      <c r="AN33" s="351"/>
      <c r="AO33" s="351"/>
      <c r="AW33"/>
      <c r="AX33"/>
      <c r="AY33" s="283"/>
      <c r="AZ33" s="285">
        <v>3</v>
      </c>
      <c r="BA33" s="288">
        <v>45472</v>
      </c>
      <c r="BB33" s="271" t="s">
        <v>17</v>
      </c>
      <c r="BC33" s="291">
        <v>29.966397843423742</v>
      </c>
      <c r="BD33" s="294">
        <v>53.621388875497303</v>
      </c>
      <c r="BH33" s="13" t="s">
        <v>33</v>
      </c>
      <c r="BI33" s="9">
        <v>4</v>
      </c>
      <c r="BJ33" s="17">
        <v>278</v>
      </c>
      <c r="BK33" s="36">
        <v>0.36019999999999996</v>
      </c>
      <c r="BL33" s="2">
        <v>0.87718785599999993</v>
      </c>
      <c r="BM33" s="20"/>
      <c r="BQ33" s="281"/>
      <c r="BR33" s="330"/>
      <c r="BS33" s="330"/>
      <c r="BT33" s="330"/>
      <c r="BU33" s="330"/>
      <c r="BV33" s="273"/>
      <c r="CA33" s="342" t="s">
        <v>43</v>
      </c>
      <c r="CB33" s="343"/>
      <c r="CC33" s="343"/>
      <c r="CD33" s="343"/>
      <c r="CE33" s="343"/>
      <c r="CF33" s="344"/>
      <c r="CL33" s="342" t="s">
        <v>43</v>
      </c>
      <c r="CM33" s="343"/>
      <c r="CN33" s="343"/>
      <c r="CO33" s="343"/>
      <c r="CP33" s="343"/>
      <c r="CQ33" s="344"/>
      <c r="CV33" s="225" t="s">
        <v>74</v>
      </c>
      <c r="DE33" s="363"/>
      <c r="DF33" s="120">
        <v>2</v>
      </c>
      <c r="DG33" s="121">
        <v>21</v>
      </c>
      <c r="DH33" s="122">
        <v>3.707233964204721E-2</v>
      </c>
      <c r="DI33" s="123">
        <v>6.8198276005510044E-3</v>
      </c>
      <c r="DJ33" s="124">
        <v>41.177560684404085</v>
      </c>
      <c r="DK33" s="125" t="s">
        <v>82</v>
      </c>
      <c r="DN33" s="272"/>
      <c r="DO33" s="281"/>
      <c r="DP33" s="128" t="s">
        <v>91</v>
      </c>
      <c r="DQ33" s="117">
        <f>SUM(DQ30:DQ32)</f>
        <v>714</v>
      </c>
      <c r="DR33" s="93">
        <f>SUM(DR29:DR32)</f>
        <v>12300.350299999998</v>
      </c>
      <c r="DS33" s="83">
        <v>0.26432000000000005</v>
      </c>
      <c r="DT33" s="93">
        <f t="shared" si="8"/>
        <v>28.480762459752963</v>
      </c>
      <c r="DU33" s="46">
        <f t="shared" si="9"/>
        <v>48.172343140601761</v>
      </c>
      <c r="ED33"/>
      <c r="EE33"/>
      <c r="EF33"/>
      <c r="EG33"/>
      <c r="EH33"/>
      <c r="EI33"/>
    </row>
    <row r="34" spans="1:139" ht="12.75" customHeight="1" x14ac:dyDescent="0.25">
      <c r="A34" s="192"/>
      <c r="B34" s="192"/>
      <c r="C34" s="192"/>
      <c r="D34" s="192"/>
      <c r="E34" s="192"/>
      <c r="F34" s="192"/>
      <c r="G34" s="193"/>
      <c r="H34" s="192"/>
      <c r="I34" s="192"/>
      <c r="Y34" s="352" t="s">
        <v>215</v>
      </c>
      <c r="Z34" s="352"/>
      <c r="AA34" s="352"/>
      <c r="AB34" s="352"/>
      <c r="AC34" s="352"/>
      <c r="AD34" s="352"/>
      <c r="AE34" s="352"/>
      <c r="AF34" s="352"/>
      <c r="AG34" s="352"/>
      <c r="AH34" s="352"/>
      <c r="AI34" s="351"/>
      <c r="AJ34" s="351"/>
      <c r="AK34" s="351"/>
      <c r="AL34" s="351"/>
      <c r="AM34" s="351"/>
      <c r="AN34" s="351"/>
      <c r="AO34" s="351"/>
      <c r="AP34" s="321" t="s">
        <v>258</v>
      </c>
      <c r="AQ34" s="322"/>
      <c r="AR34" s="322"/>
      <c r="AS34" s="322"/>
      <c r="AT34" s="322"/>
      <c r="AU34" s="322"/>
      <c r="AV34" s="322"/>
      <c r="AW34" s="323"/>
      <c r="AX34"/>
      <c r="AY34" s="283"/>
      <c r="AZ34" s="286"/>
      <c r="BA34" s="289"/>
      <c r="BB34" s="272"/>
      <c r="BC34" s="292"/>
      <c r="BD34" s="295"/>
      <c r="BH34" s="13" t="s">
        <v>44</v>
      </c>
      <c r="BI34" s="9">
        <v>1</v>
      </c>
      <c r="BJ34" s="17">
        <v>81</v>
      </c>
      <c r="BK34" s="36">
        <v>0.82</v>
      </c>
      <c r="BL34" s="2">
        <v>0.5818392</v>
      </c>
      <c r="BM34" s="22"/>
      <c r="BQ34" s="11" t="s">
        <v>31</v>
      </c>
      <c r="BR34" s="1">
        <v>23</v>
      </c>
      <c r="BS34" s="54">
        <v>9188.2000000000007</v>
      </c>
      <c r="BT34" s="55">
        <v>0.39923999999999998</v>
      </c>
      <c r="BU34" s="56">
        <f t="shared" ref="BU34:BU39" si="12">BS34*BT34*365*24/1000000</f>
        <v>32.134281439680002</v>
      </c>
      <c r="BV34" s="18"/>
      <c r="CA34" s="338" t="s">
        <v>220</v>
      </c>
      <c r="CB34" s="339"/>
      <c r="CC34" s="339"/>
      <c r="CD34" s="339"/>
      <c r="CE34" s="339"/>
      <c r="CF34" s="340"/>
      <c r="CL34" s="297" t="s">
        <v>173</v>
      </c>
      <c r="CM34" s="298"/>
      <c r="CN34" s="298"/>
      <c r="CO34" s="298"/>
      <c r="CP34" s="298"/>
      <c r="CQ34" s="213"/>
      <c r="CS34"/>
      <c r="CU34"/>
      <c r="CV34" s="225" t="s">
        <v>75</v>
      </c>
      <c r="DE34" s="364"/>
      <c r="DF34" s="120">
        <v>1</v>
      </c>
      <c r="DG34" s="121">
        <v>7</v>
      </c>
      <c r="DH34" s="122">
        <v>3.707233964204721E-2</v>
      </c>
      <c r="DI34" s="123">
        <v>2.273275866850335E-3</v>
      </c>
      <c r="DJ34" s="124">
        <v>13.72585356146803</v>
      </c>
      <c r="DK34" s="125" t="s">
        <v>83</v>
      </c>
      <c r="DN34" s="272"/>
      <c r="DO34" s="271" t="s">
        <v>93</v>
      </c>
      <c r="DP34" s="104" t="s">
        <v>81</v>
      </c>
      <c r="DQ34" s="1">
        <f t="shared" ref="DQ34:DR35" si="13">DQ24+DQ29</f>
        <v>296</v>
      </c>
      <c r="DR34" s="2">
        <f t="shared" si="13"/>
        <v>3000.0002999999992</v>
      </c>
      <c r="DS34" s="36">
        <v>0.26432000000000005</v>
      </c>
      <c r="DT34" s="2">
        <f t="shared" si="8"/>
        <v>6.9463302946329604</v>
      </c>
      <c r="DU34" s="114">
        <f t="shared" si="9"/>
        <v>11.749018552220273</v>
      </c>
      <c r="ED34"/>
      <c r="EE34"/>
      <c r="EF34"/>
      <c r="EG34"/>
      <c r="EH34"/>
      <c r="EI34"/>
    </row>
    <row r="35" spans="1:139" ht="12.75" customHeight="1" x14ac:dyDescent="0.25">
      <c r="A35" s="192"/>
      <c r="B35" s="192"/>
      <c r="C35" s="192"/>
      <c r="D35" s="192"/>
      <c r="E35" s="192"/>
      <c r="F35" s="192"/>
      <c r="G35" s="193"/>
      <c r="H35" s="192"/>
      <c r="I35" s="192"/>
      <c r="M35"/>
      <c r="N35"/>
      <c r="O35"/>
      <c r="P35"/>
      <c r="Q35"/>
      <c r="R35"/>
      <c r="S35"/>
      <c r="T35"/>
      <c r="U35"/>
      <c r="V35"/>
      <c r="W35"/>
      <c r="X35"/>
      <c r="Y35" s="352" t="s">
        <v>214</v>
      </c>
      <c r="Z35" s="352"/>
      <c r="AA35" s="352"/>
      <c r="AB35" s="352"/>
      <c r="AC35" s="352"/>
      <c r="AD35" s="352"/>
      <c r="AE35" s="352"/>
      <c r="AF35" s="352"/>
      <c r="AG35" s="352"/>
      <c r="AH35" s="352"/>
      <c r="AI35" s="269" t="s">
        <v>183</v>
      </c>
      <c r="AJ35" s="269"/>
      <c r="AK35" s="269"/>
      <c r="AL35" s="269"/>
      <c r="AM35" s="269"/>
      <c r="AN35" s="269"/>
      <c r="AO35" s="269"/>
      <c r="AP35" s="312" t="s">
        <v>110</v>
      </c>
      <c r="AQ35" s="274" t="s">
        <v>123</v>
      </c>
      <c r="AR35" s="275"/>
      <c r="AS35" s="271" t="s">
        <v>112</v>
      </c>
      <c r="AT35" s="271" t="s">
        <v>127</v>
      </c>
      <c r="AU35" s="271" t="s">
        <v>124</v>
      </c>
      <c r="AV35" s="271" t="s">
        <v>125</v>
      </c>
      <c r="AW35" s="271" t="s">
        <v>128</v>
      </c>
      <c r="AX35"/>
      <c r="AY35" s="284"/>
      <c r="AZ35" s="287"/>
      <c r="BA35" s="290"/>
      <c r="BB35" s="273"/>
      <c r="BC35" s="293"/>
      <c r="BD35" s="296"/>
      <c r="BH35" s="13" t="s">
        <v>45</v>
      </c>
      <c r="BI35" s="9">
        <v>2</v>
      </c>
      <c r="BJ35" s="17">
        <v>165</v>
      </c>
      <c r="BK35" s="45">
        <v>0.35518</v>
      </c>
      <c r="BL35" s="2">
        <v>0.51337717199999999</v>
      </c>
      <c r="BM35" s="23"/>
      <c r="BQ35" s="11" t="s">
        <v>34</v>
      </c>
      <c r="BR35" s="1">
        <v>6</v>
      </c>
      <c r="BS35" s="54">
        <v>2470.4</v>
      </c>
      <c r="BT35" s="55">
        <v>0.7478800000000001</v>
      </c>
      <c r="BU35" s="56">
        <f t="shared" si="12"/>
        <v>16.184649707520006</v>
      </c>
      <c r="BV35" s="18"/>
      <c r="CA35" s="280" t="s">
        <v>23</v>
      </c>
      <c r="CB35" s="328" t="s">
        <v>24</v>
      </c>
      <c r="CC35" s="328" t="s">
        <v>25</v>
      </c>
      <c r="CD35" s="328" t="s">
        <v>26</v>
      </c>
      <c r="CE35" s="336" t="s">
        <v>27</v>
      </c>
      <c r="CF35" s="337"/>
      <c r="CL35" s="300" t="s">
        <v>174</v>
      </c>
      <c r="CM35" s="301"/>
      <c r="CN35" s="301"/>
      <c r="CO35" s="301"/>
      <c r="CP35" s="301"/>
      <c r="CQ35" s="302"/>
      <c r="CS35"/>
      <c r="CU35"/>
      <c r="CV35" s="15" t="s">
        <v>76</v>
      </c>
      <c r="DE35" s="280" t="s">
        <v>37</v>
      </c>
      <c r="DF35" s="101">
        <v>87</v>
      </c>
      <c r="DG35" s="102">
        <v>161.35000000000005</v>
      </c>
      <c r="DH35" s="36">
        <v>0.38167999999999991</v>
      </c>
      <c r="DI35" s="79">
        <v>0.53947643568000014</v>
      </c>
      <c r="DJ35" s="98">
        <v>87.618734772433115</v>
      </c>
      <c r="DK35" s="99" t="s">
        <v>82</v>
      </c>
      <c r="DN35" s="272"/>
      <c r="DO35" s="272"/>
      <c r="DP35" s="100" t="s">
        <v>82</v>
      </c>
      <c r="DQ35" s="1">
        <f t="shared" si="13"/>
        <v>533</v>
      </c>
      <c r="DR35" s="2">
        <f t="shared" si="13"/>
        <v>18856.399999999998</v>
      </c>
      <c r="DS35" s="36">
        <v>0.26432000000000005</v>
      </c>
      <c r="DT35" s="2">
        <f t="shared" si="8"/>
        <v>43.660923156480003</v>
      </c>
      <c r="DU35" s="73">
        <f t="shared" si="9"/>
        <v>73.848057091223083</v>
      </c>
      <c r="ED35"/>
      <c r="EE35"/>
      <c r="EF35"/>
      <c r="EG35"/>
      <c r="EH35"/>
      <c r="EI35"/>
    </row>
    <row r="36" spans="1:139" ht="12.75" customHeight="1" x14ac:dyDescent="0.25">
      <c r="A36" s="192"/>
      <c r="B36" s="192"/>
      <c r="C36" s="192"/>
      <c r="D36" s="192"/>
      <c r="E36" s="192"/>
      <c r="F36" s="192"/>
      <c r="G36" s="193"/>
      <c r="H36" s="192"/>
      <c r="I36" s="192"/>
      <c r="M36"/>
      <c r="N36"/>
      <c r="O36"/>
      <c r="P36"/>
      <c r="Q36"/>
      <c r="R36"/>
      <c r="S36"/>
      <c r="T36"/>
      <c r="U36"/>
      <c r="V36"/>
      <c r="W36"/>
      <c r="X36"/>
      <c r="Y36" s="352" t="s">
        <v>254</v>
      </c>
      <c r="Z36" s="352"/>
      <c r="AA36" s="352"/>
      <c r="AB36" s="352"/>
      <c r="AC36" s="352"/>
      <c r="AD36" s="352"/>
      <c r="AE36" s="352"/>
      <c r="AF36" s="352"/>
      <c r="AG36" s="352"/>
      <c r="AH36" s="352"/>
      <c r="AI36" s="269" t="s">
        <v>184</v>
      </c>
      <c r="AJ36" s="269"/>
      <c r="AK36" s="269"/>
      <c r="AL36" s="269"/>
      <c r="AM36" s="269"/>
      <c r="AN36" s="269"/>
      <c r="AO36" s="269"/>
      <c r="AP36" s="313"/>
      <c r="AQ36" s="276"/>
      <c r="AR36" s="277"/>
      <c r="AS36" s="272"/>
      <c r="AT36" s="272"/>
      <c r="AU36" s="272"/>
      <c r="AV36" s="272"/>
      <c r="AW36" s="272"/>
      <c r="AX36" s="210"/>
      <c r="AY36" s="7" t="s">
        <v>18</v>
      </c>
      <c r="AZ36" s="1">
        <v>4</v>
      </c>
      <c r="BA36" s="9">
        <v>869252</v>
      </c>
      <c r="BB36" s="245" t="s">
        <v>16</v>
      </c>
      <c r="BC36" s="56">
        <v>52.230155326996751</v>
      </c>
      <c r="BD36" s="5">
        <v>45.866076635849701</v>
      </c>
      <c r="BG36" s="61"/>
      <c r="BH36" s="31" t="s">
        <v>35</v>
      </c>
      <c r="BI36" s="40">
        <v>57</v>
      </c>
      <c r="BJ36" s="41">
        <v>8152.7999999999993</v>
      </c>
      <c r="BK36" s="44">
        <v>0.36291366941418901</v>
      </c>
      <c r="BL36" s="35">
        <v>25.91876006064</v>
      </c>
      <c r="BM36" s="46">
        <v>46.37861112450269</v>
      </c>
      <c r="BQ36" s="11" t="s">
        <v>30</v>
      </c>
      <c r="BR36" s="1">
        <v>53</v>
      </c>
      <c r="BS36" s="17">
        <v>5278.5999999999995</v>
      </c>
      <c r="BT36" s="55">
        <v>0.26432000000000005</v>
      </c>
      <c r="BU36" s="56">
        <f t="shared" si="12"/>
        <v>12.222298475520002</v>
      </c>
      <c r="BV36" s="57"/>
      <c r="CA36" s="327"/>
      <c r="CB36" s="329"/>
      <c r="CC36" s="329"/>
      <c r="CD36" s="329"/>
      <c r="CE36" s="328" t="s">
        <v>28</v>
      </c>
      <c r="CF36" s="271" t="s">
        <v>29</v>
      </c>
      <c r="CL36" s="280" t="s">
        <v>23</v>
      </c>
      <c r="CM36" s="328" t="s">
        <v>24</v>
      </c>
      <c r="CN36" s="328" t="s">
        <v>25</v>
      </c>
      <c r="CO36" s="328" t="s">
        <v>26</v>
      </c>
      <c r="CP36" s="336" t="s">
        <v>27</v>
      </c>
      <c r="CQ36" s="337"/>
      <c r="CS36"/>
      <c r="CU36"/>
      <c r="CV36" s="225" t="s">
        <v>77</v>
      </c>
      <c r="DE36" s="327"/>
      <c r="DF36" s="101">
        <v>6</v>
      </c>
      <c r="DG36" s="102">
        <v>14.9</v>
      </c>
      <c r="DH36" s="36">
        <v>0.38167999999999991</v>
      </c>
      <c r="DI36" s="79">
        <v>4.9818400319999984E-2</v>
      </c>
      <c r="DJ36" s="78">
        <v>8.0912249650403023</v>
      </c>
      <c r="DK36" s="104" t="s">
        <v>83</v>
      </c>
      <c r="DN36" s="272"/>
      <c r="DO36" s="272"/>
      <c r="DP36" s="104" t="s">
        <v>83</v>
      </c>
      <c r="DQ36" s="1">
        <f>DQ26+DQ31</f>
        <v>95</v>
      </c>
      <c r="DR36" s="2">
        <f>DR26+DR31</f>
        <v>1870.4999999999995</v>
      </c>
      <c r="DS36" s="36">
        <v>0.26432000000000005</v>
      </c>
      <c r="DT36" s="2">
        <f t="shared" si="8"/>
        <v>4.3310365056000002</v>
      </c>
      <c r="DU36" s="114">
        <f t="shared" si="9"/>
        <v>7.3255123347581064</v>
      </c>
      <c r="ED36"/>
      <c r="EE36"/>
      <c r="EF36"/>
      <c r="EG36"/>
      <c r="EH36"/>
      <c r="EI36"/>
    </row>
    <row r="37" spans="1:139" ht="12.75" customHeight="1" x14ac:dyDescent="0.25">
      <c r="A37" s="192"/>
      <c r="B37" s="192"/>
      <c r="C37" s="192"/>
      <c r="D37" s="192"/>
      <c r="E37" s="192"/>
      <c r="F37" s="192"/>
      <c r="G37" s="193"/>
      <c r="H37" s="192"/>
      <c r="I37" s="192"/>
      <c r="M37"/>
      <c r="N37"/>
      <c r="O37"/>
      <c r="P37"/>
      <c r="Q37"/>
      <c r="R37"/>
      <c r="S37"/>
      <c r="T37"/>
      <c r="U37"/>
      <c r="V37"/>
      <c r="W37"/>
      <c r="X37"/>
      <c r="Y37" s="352" t="s">
        <v>255</v>
      </c>
      <c r="Z37" s="352"/>
      <c r="AA37" s="352"/>
      <c r="AB37" s="352"/>
      <c r="AC37" s="352"/>
      <c r="AD37" s="352"/>
      <c r="AE37" s="352"/>
      <c r="AF37" s="352"/>
      <c r="AG37" s="352"/>
      <c r="AH37" s="352"/>
      <c r="AI37" s="351" t="s">
        <v>273</v>
      </c>
      <c r="AJ37" s="351"/>
      <c r="AK37" s="351"/>
      <c r="AL37" s="351"/>
      <c r="AM37" s="351"/>
      <c r="AN37" s="351"/>
      <c r="AO37" s="351"/>
      <c r="AP37" s="313"/>
      <c r="AQ37" s="276"/>
      <c r="AR37" s="277"/>
      <c r="AS37" s="272"/>
      <c r="AT37" s="272"/>
      <c r="AU37" s="272"/>
      <c r="AV37" s="272"/>
      <c r="AW37" s="272"/>
      <c r="AX37" s="210"/>
      <c r="AY37" s="282" t="s">
        <v>19</v>
      </c>
      <c r="AZ37" s="1">
        <v>5</v>
      </c>
      <c r="BA37" s="10">
        <v>869449</v>
      </c>
      <c r="BB37" s="245" t="s">
        <v>16</v>
      </c>
      <c r="BC37" s="56">
        <v>52.683630496683762</v>
      </c>
      <c r="BD37" s="5">
        <v>45.764796329714009</v>
      </c>
      <c r="BH37" s="13" t="s">
        <v>30</v>
      </c>
      <c r="BI37" s="9">
        <v>1930</v>
      </c>
      <c r="BJ37" s="17">
        <v>5464.3010220000015</v>
      </c>
      <c r="BK37" s="36">
        <v>0.26939013358212555</v>
      </c>
      <c r="BL37" s="2">
        <v>12.894972132505846</v>
      </c>
      <c r="BM37" s="25"/>
      <c r="BQ37" s="11" t="s">
        <v>33</v>
      </c>
      <c r="BR37" s="1">
        <v>6</v>
      </c>
      <c r="BS37" s="54">
        <v>416</v>
      </c>
      <c r="BT37" s="55">
        <v>0.36019999999999996</v>
      </c>
      <c r="BU37" s="56">
        <f t="shared" si="12"/>
        <v>1.3126264320000001</v>
      </c>
      <c r="BV37" s="57"/>
      <c r="CA37" s="281"/>
      <c r="CB37" s="330"/>
      <c r="CC37" s="330"/>
      <c r="CD37" s="330"/>
      <c r="CE37" s="330"/>
      <c r="CF37" s="273"/>
      <c r="CL37" s="327"/>
      <c r="CM37" s="329"/>
      <c r="CN37" s="329"/>
      <c r="CO37" s="329"/>
      <c r="CP37" s="328" t="s">
        <v>28</v>
      </c>
      <c r="CQ37" s="271" t="s">
        <v>15</v>
      </c>
      <c r="CS37"/>
      <c r="CU37"/>
      <c r="CV37"/>
      <c r="CW37" s="96"/>
      <c r="DE37" s="281"/>
      <c r="DF37" s="101">
        <v>12</v>
      </c>
      <c r="DG37" s="102">
        <v>7.9000000000000012</v>
      </c>
      <c r="DH37" s="36">
        <v>0.38167999999999991</v>
      </c>
      <c r="DI37" s="79">
        <v>2.6413782720000004E-2</v>
      </c>
      <c r="DJ37" s="78">
        <v>4.2899783371690212</v>
      </c>
      <c r="DK37" s="104" t="s">
        <v>81</v>
      </c>
      <c r="DN37" s="272"/>
      <c r="DO37" s="272"/>
      <c r="DP37" s="104" t="s">
        <v>95</v>
      </c>
      <c r="DQ37" s="1">
        <f>DQ27+DQ32</f>
        <v>205</v>
      </c>
      <c r="DR37" s="2">
        <f>DR27+DR32</f>
        <v>1807.1499999999987</v>
      </c>
      <c r="DS37" s="36">
        <v>0.26432000000000005</v>
      </c>
      <c r="DT37" s="2">
        <f t="shared" si="8"/>
        <v>4.1843531788799977</v>
      </c>
      <c r="DU37" s="114">
        <f t="shared" si="9"/>
        <v>7.0774122511403927</v>
      </c>
      <c r="ED37"/>
      <c r="EE37"/>
      <c r="EF37"/>
      <c r="EG37"/>
      <c r="EH37"/>
      <c r="EI37"/>
    </row>
    <row r="38" spans="1:139" ht="12.75" customHeight="1" x14ac:dyDescent="0.25">
      <c r="A38" s="192"/>
      <c r="B38" s="192"/>
      <c r="C38" s="192"/>
      <c r="D38" s="192"/>
      <c r="E38" s="192"/>
      <c r="F38" s="192"/>
      <c r="G38" s="193"/>
      <c r="H38" s="192"/>
      <c r="I38" s="192"/>
      <c r="M38"/>
      <c r="N38"/>
      <c r="O38"/>
      <c r="P38"/>
      <c r="Q38"/>
      <c r="R38"/>
      <c r="S38"/>
      <c r="T38"/>
      <c r="U38"/>
      <c r="V38"/>
      <c r="W38"/>
      <c r="X38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137"/>
      <c r="AJ38" s="137"/>
      <c r="AK38" s="137"/>
      <c r="AL38" s="137"/>
      <c r="AM38" s="137"/>
      <c r="AN38" s="137"/>
      <c r="AO38" s="137"/>
      <c r="AP38" s="313"/>
      <c r="AQ38" s="276"/>
      <c r="AR38" s="277"/>
      <c r="AS38" s="272"/>
      <c r="AT38" s="272"/>
      <c r="AU38" s="272"/>
      <c r="AV38" s="272"/>
      <c r="AW38" s="272"/>
      <c r="AX38" s="210"/>
      <c r="AY38" s="283"/>
      <c r="AZ38" s="285">
        <v>6</v>
      </c>
      <c r="BA38" s="288">
        <v>870521</v>
      </c>
      <c r="BB38" s="271" t="s">
        <v>17</v>
      </c>
      <c r="BC38" s="291">
        <v>74.921867943634297</v>
      </c>
      <c r="BD38" s="294">
        <v>35.804038942499197</v>
      </c>
      <c r="BH38" s="11" t="s">
        <v>34</v>
      </c>
      <c r="BI38" s="10">
        <v>195</v>
      </c>
      <c r="BJ38" s="12">
        <v>710.65823999999986</v>
      </c>
      <c r="BK38" s="36">
        <v>0.74774276667959838</v>
      </c>
      <c r="BL38" s="2">
        <v>4.6549725328213842</v>
      </c>
      <c r="BM38" s="26"/>
      <c r="BQ38" s="11" t="s">
        <v>32</v>
      </c>
      <c r="BR38" s="1">
        <v>2</v>
      </c>
      <c r="BS38" s="54">
        <v>165</v>
      </c>
      <c r="BT38" s="58">
        <v>0.35518</v>
      </c>
      <c r="BU38" s="56">
        <f t="shared" si="12"/>
        <v>0.51337717199999999</v>
      </c>
      <c r="BV38" s="57"/>
      <c r="CA38" s="13" t="s">
        <v>32</v>
      </c>
      <c r="CB38" s="1">
        <v>1</v>
      </c>
      <c r="CC38" s="54">
        <v>200</v>
      </c>
      <c r="CD38" s="36">
        <v>0.35518</v>
      </c>
      <c r="CE38" s="2">
        <f t="shared" ref="CE38:CE44" si="14">CC38*365*24*CD38/1000000</f>
        <v>0.62227535999999994</v>
      </c>
      <c r="CF38" s="66"/>
      <c r="CL38" s="281"/>
      <c r="CM38" s="330"/>
      <c r="CN38" s="330"/>
      <c r="CO38" s="330"/>
      <c r="CP38" s="330"/>
      <c r="CQ38" s="273"/>
      <c r="CS38"/>
      <c r="CU38"/>
      <c r="CV38"/>
      <c r="CW38"/>
      <c r="CX38"/>
      <c r="CY38"/>
      <c r="CZ38"/>
      <c r="DA38"/>
      <c r="DB38"/>
      <c r="DC38"/>
      <c r="DE38" s="388" t="s">
        <v>39</v>
      </c>
      <c r="DF38" s="120">
        <v>1650</v>
      </c>
      <c r="DG38" s="127">
        <v>16338.885255000012</v>
      </c>
      <c r="DH38" s="122">
        <v>0.11019999999999999</v>
      </c>
      <c r="DI38" s="123">
        <v>15.772775558684771</v>
      </c>
      <c r="DJ38" s="98">
        <v>88.622290942613262</v>
      </c>
      <c r="DK38" s="107" t="s">
        <v>81</v>
      </c>
      <c r="DN38" s="273"/>
      <c r="DO38" s="273"/>
      <c r="DP38" s="116" t="s">
        <v>91</v>
      </c>
      <c r="DQ38" s="81">
        <f>SUM(DQ34:DQ37)</f>
        <v>1129</v>
      </c>
      <c r="DR38" s="93">
        <f>SUM(DR34:DR37)</f>
        <v>25534.050299999995</v>
      </c>
      <c r="DS38" s="83">
        <v>0.26432000000000005</v>
      </c>
      <c r="DT38" s="93">
        <f t="shared" si="8"/>
        <v>59.122643135592959</v>
      </c>
      <c r="DU38" s="85">
        <f t="shared" si="9"/>
        <v>100.00000022934185</v>
      </c>
      <c r="ED38"/>
      <c r="EE38"/>
      <c r="EF38"/>
      <c r="EG38"/>
      <c r="EH38"/>
      <c r="EI38"/>
    </row>
    <row r="39" spans="1:139" ht="12.75" customHeight="1" x14ac:dyDescent="0.25">
      <c r="A39" s="192"/>
      <c r="B39" s="192"/>
      <c r="C39" s="192"/>
      <c r="D39" s="192"/>
      <c r="E39" s="192"/>
      <c r="F39" s="192"/>
      <c r="G39" s="193"/>
      <c r="H39" s="192"/>
      <c r="I39" s="192"/>
      <c r="M39"/>
      <c r="N39"/>
      <c r="O39"/>
      <c r="P39"/>
      <c r="Q39"/>
      <c r="R39"/>
      <c r="S39"/>
      <c r="T39"/>
      <c r="U39"/>
      <c r="V39"/>
      <c r="W39"/>
      <c r="X39"/>
      <c r="Y39" s="352" t="s">
        <v>267</v>
      </c>
      <c r="Z39" s="352"/>
      <c r="AA39" s="352"/>
      <c r="AB39" s="352"/>
      <c r="AC39" s="352"/>
      <c r="AD39" s="352"/>
      <c r="AE39" s="352"/>
      <c r="AF39" s="352"/>
      <c r="AG39" s="352"/>
      <c r="AH39" s="352"/>
      <c r="AI39" s="247" t="s">
        <v>269</v>
      </c>
      <c r="AJ39" s="247"/>
      <c r="AK39" s="247"/>
      <c r="AL39" s="247"/>
      <c r="AM39" s="247"/>
      <c r="AN39" s="247"/>
      <c r="AO39" s="247"/>
      <c r="AP39" s="313"/>
      <c r="AQ39" s="278"/>
      <c r="AR39" s="279"/>
      <c r="AS39" s="273"/>
      <c r="AT39" s="273"/>
      <c r="AU39" s="272"/>
      <c r="AV39" s="272"/>
      <c r="AW39" s="272"/>
      <c r="AX39" s="210"/>
      <c r="AY39" s="283"/>
      <c r="AZ39" s="286"/>
      <c r="BA39" s="289"/>
      <c r="BB39" s="272"/>
      <c r="BC39" s="292"/>
      <c r="BD39" s="295"/>
      <c r="BH39" s="13" t="s">
        <v>31</v>
      </c>
      <c r="BI39" s="16">
        <v>13</v>
      </c>
      <c r="BJ39" s="17">
        <v>985.3</v>
      </c>
      <c r="BK39" s="36">
        <v>0.39923999999999998</v>
      </c>
      <c r="BL39" s="2">
        <v>3.4459314667199998</v>
      </c>
      <c r="BM39" s="26"/>
      <c r="BQ39" s="11" t="s">
        <v>39</v>
      </c>
      <c r="BR39" s="1">
        <v>1</v>
      </c>
      <c r="BS39" s="54">
        <v>69.8</v>
      </c>
      <c r="BT39" s="55">
        <v>0.11019999999999999</v>
      </c>
      <c r="BU39" s="56">
        <f t="shared" si="12"/>
        <v>6.7381569599999983E-2</v>
      </c>
      <c r="BV39" s="57"/>
      <c r="CA39" s="13" t="s">
        <v>34</v>
      </c>
      <c r="CB39" s="1">
        <v>1</v>
      </c>
      <c r="CC39" s="54">
        <v>260</v>
      </c>
      <c r="CD39" s="71">
        <v>0.7478800000000001</v>
      </c>
      <c r="CE39" s="2">
        <f t="shared" si="14"/>
        <v>1.7033714880000002</v>
      </c>
      <c r="CF39" s="66"/>
      <c r="CL39" s="13" t="s">
        <v>31</v>
      </c>
      <c r="CM39" s="10">
        <v>63</v>
      </c>
      <c r="CN39" s="27">
        <v>29062.599999999995</v>
      </c>
      <c r="CO39" s="36">
        <v>0.39923999999999998</v>
      </c>
      <c r="CP39" s="2">
        <f t="shared" ref="CP39:CP52" si="15">CN39*365*24*CO39/1000000</f>
        <v>101.64186323423996</v>
      </c>
      <c r="CQ39" s="241">
        <f t="shared" ref="CQ39:CQ53" si="16">100*CP39/237.27082</f>
        <v>42.837911224920106</v>
      </c>
      <c r="CS39"/>
      <c r="CT39"/>
      <c r="CU39"/>
      <c r="CV39"/>
      <c r="CW39"/>
      <c r="CX39"/>
      <c r="CY39"/>
      <c r="CZ39"/>
      <c r="DA39"/>
      <c r="DB39"/>
      <c r="DC39"/>
      <c r="DE39" s="389"/>
      <c r="DF39" s="120">
        <v>79</v>
      </c>
      <c r="DG39" s="121">
        <v>508.21334999999993</v>
      </c>
      <c r="DH39" s="122">
        <v>0.11019999999999999</v>
      </c>
      <c r="DI39" s="123">
        <v>0.49060477384919993</v>
      </c>
      <c r="DJ39" s="124">
        <v>2.7565547258395329</v>
      </c>
      <c r="DK39" s="125" t="s">
        <v>82</v>
      </c>
      <c r="DS39" s="15"/>
      <c r="DT39" s="110"/>
      <c r="ED39"/>
      <c r="EE39"/>
      <c r="EF39"/>
      <c r="EG39"/>
      <c r="EH39"/>
      <c r="EI39"/>
    </row>
    <row r="40" spans="1:139" ht="12.75" customHeight="1" x14ac:dyDescent="0.25">
      <c r="A40" s="193"/>
      <c r="B40" s="193"/>
      <c r="C40" s="193"/>
      <c r="D40" s="193"/>
      <c r="E40" s="193"/>
      <c r="F40" s="193"/>
      <c r="G40" s="193"/>
      <c r="H40" s="193"/>
      <c r="I40" s="193"/>
      <c r="M40"/>
      <c r="N40"/>
      <c r="O40"/>
      <c r="P40"/>
      <c r="Q40"/>
      <c r="R40"/>
      <c r="S40"/>
      <c r="T40"/>
      <c r="U40"/>
      <c r="V40"/>
      <c r="W40"/>
      <c r="X40"/>
      <c r="Y40" s="352" t="s">
        <v>232</v>
      </c>
      <c r="Z40" s="352"/>
      <c r="AA40" s="352"/>
      <c r="AB40" s="352"/>
      <c r="AC40" s="352"/>
      <c r="AD40" s="352"/>
      <c r="AE40" s="352"/>
      <c r="AF40" s="352"/>
      <c r="AG40" s="352"/>
      <c r="AH40" s="352"/>
      <c r="AI40" s="247" t="s">
        <v>270</v>
      </c>
      <c r="AJ40" s="247"/>
      <c r="AK40" s="247"/>
      <c r="AL40" s="247"/>
      <c r="AM40" s="247"/>
      <c r="AN40" s="247"/>
      <c r="AO40" s="247"/>
      <c r="AP40" s="314"/>
      <c r="AQ40" s="104" t="s">
        <v>12</v>
      </c>
      <c r="AR40" s="104" t="s">
        <v>14</v>
      </c>
      <c r="AS40" s="104" t="s">
        <v>14</v>
      </c>
      <c r="AT40" s="155" t="s">
        <v>14</v>
      </c>
      <c r="AU40" s="273"/>
      <c r="AV40" s="249" t="s">
        <v>126</v>
      </c>
      <c r="AW40" s="273"/>
      <c r="AX40" s="210"/>
      <c r="AY40" s="283"/>
      <c r="AZ40" s="287"/>
      <c r="BA40" s="290"/>
      <c r="BB40" s="273"/>
      <c r="BC40" s="293"/>
      <c r="BD40" s="296"/>
      <c r="BH40" s="11" t="s">
        <v>36</v>
      </c>
      <c r="BI40" s="10">
        <v>266</v>
      </c>
      <c r="BJ40" s="12">
        <v>746.1999999999997</v>
      </c>
      <c r="BK40" s="38">
        <v>0.43041999999999997</v>
      </c>
      <c r="BL40" s="2">
        <v>2.8135315790399988</v>
      </c>
      <c r="BM40" s="26"/>
      <c r="BQ40" s="31" t="s">
        <v>48</v>
      </c>
      <c r="BR40" s="40">
        <f>SUM(BR34:BR39)</f>
        <v>91</v>
      </c>
      <c r="BS40" s="41">
        <f>SUM(BS34:BS39)</f>
        <v>17588</v>
      </c>
      <c r="BT40" s="44">
        <f>BU40*1000000/365/24/BS40</f>
        <v>0.40523306413463733</v>
      </c>
      <c r="BU40" s="35">
        <f>SUM(BU34:BU39)</f>
        <v>62.434614796320012</v>
      </c>
      <c r="BV40" s="46">
        <f>100*BU40/(BU40+BU55)</f>
        <v>54.222333340857745</v>
      </c>
      <c r="CA40" s="69" t="s">
        <v>39</v>
      </c>
      <c r="CB40" s="1">
        <v>1</v>
      </c>
      <c r="CC40" s="54">
        <v>62</v>
      </c>
      <c r="CD40" s="36">
        <v>0.11019999999999999</v>
      </c>
      <c r="CE40" s="2">
        <f t="shared" si="14"/>
        <v>5.9851823999999991E-2</v>
      </c>
      <c r="CF40" s="66"/>
      <c r="CL40" s="13" t="s">
        <v>30</v>
      </c>
      <c r="CM40" s="10">
        <v>7711</v>
      </c>
      <c r="CN40" s="27">
        <v>25679.458519999993</v>
      </c>
      <c r="CO40" s="36">
        <v>0.2643486303173152</v>
      </c>
      <c r="CP40" s="2">
        <f t="shared" si="15"/>
        <v>59.465768058578227</v>
      </c>
      <c r="CQ40" s="241">
        <f t="shared" si="16"/>
        <v>25.06240255695084</v>
      </c>
      <c r="CS40"/>
      <c r="CU40"/>
      <c r="CV40"/>
      <c r="CW40"/>
      <c r="CX40"/>
      <c r="CY40"/>
      <c r="CZ40"/>
      <c r="DA40"/>
      <c r="DB40"/>
      <c r="DC40"/>
      <c r="DE40" s="389"/>
      <c r="DF40" s="120">
        <v>32</v>
      </c>
      <c r="DG40" s="121">
        <v>366.84999999999997</v>
      </c>
      <c r="DH40" s="122">
        <v>0.11019999999999999</v>
      </c>
      <c r="DI40" s="123">
        <v>0.35413938119999994</v>
      </c>
      <c r="DJ40" s="124">
        <v>1.9897983812787141</v>
      </c>
      <c r="DK40" s="125" t="s">
        <v>84</v>
      </c>
      <c r="DN40" s="324" t="s">
        <v>78</v>
      </c>
      <c r="DO40" s="325"/>
      <c r="DP40" s="325"/>
      <c r="DQ40" s="325"/>
      <c r="DR40" s="325"/>
      <c r="DS40" s="325"/>
      <c r="DT40" s="325"/>
      <c r="DU40" s="326"/>
      <c r="ED40"/>
      <c r="EE40"/>
      <c r="EF40"/>
      <c r="EG40"/>
      <c r="EH40"/>
      <c r="EI40"/>
    </row>
    <row r="41" spans="1:139" ht="12.75" customHeight="1" x14ac:dyDescent="0.25">
      <c r="A41" s="193"/>
      <c r="B41" s="193"/>
      <c r="C41" s="193"/>
      <c r="D41" s="193"/>
      <c r="E41" s="193"/>
      <c r="F41" s="193"/>
      <c r="G41" s="193"/>
      <c r="H41" s="192"/>
      <c r="I41" s="193"/>
      <c r="M41"/>
      <c r="N41"/>
      <c r="O41"/>
      <c r="P41"/>
      <c r="Q41"/>
      <c r="R41"/>
      <c r="S41"/>
      <c r="T41"/>
      <c r="U41"/>
      <c r="V41"/>
      <c r="W41"/>
      <c r="X41"/>
      <c r="Y41" s="352" t="s">
        <v>263</v>
      </c>
      <c r="Z41" s="352"/>
      <c r="AA41" s="352"/>
      <c r="AB41" s="352"/>
      <c r="AC41" s="352"/>
      <c r="AD41" s="352"/>
      <c r="AE41" s="352"/>
      <c r="AF41" s="352"/>
      <c r="AG41" s="352"/>
      <c r="AH41" s="352"/>
      <c r="AI41" s="247" t="s">
        <v>299</v>
      </c>
      <c r="AJ41" s="247"/>
      <c r="AK41" s="247"/>
      <c r="AL41" s="247"/>
      <c r="AM41" s="247"/>
      <c r="AN41" s="247"/>
      <c r="AO41" s="247"/>
      <c r="AP41" s="142" t="s">
        <v>114</v>
      </c>
      <c r="AQ41" s="257">
        <v>869450</v>
      </c>
      <c r="AR41" s="158">
        <v>52.710955210484038</v>
      </c>
      <c r="AS41" s="144">
        <f>AV29-AR41</f>
        <v>150.31423361093493</v>
      </c>
      <c r="AT41" s="157" t="s">
        <v>121</v>
      </c>
      <c r="AU41" s="157" t="s">
        <v>121</v>
      </c>
      <c r="AV41" s="157" t="s">
        <v>121</v>
      </c>
      <c r="AW41" s="157" t="s">
        <v>121</v>
      </c>
      <c r="AX41" s="159"/>
      <c r="AY41" s="283"/>
      <c r="AZ41" s="1">
        <v>7</v>
      </c>
      <c r="BA41" s="10">
        <v>362</v>
      </c>
      <c r="BB41" s="245" t="s">
        <v>20</v>
      </c>
      <c r="BC41" s="56">
        <v>8.6548329465670104</v>
      </c>
      <c r="BD41" s="5">
        <v>30.890045780557301</v>
      </c>
      <c r="BH41" s="11" t="s">
        <v>33</v>
      </c>
      <c r="BI41" s="10">
        <v>38</v>
      </c>
      <c r="BJ41" s="12">
        <v>740.8</v>
      </c>
      <c r="BK41" s="38">
        <v>0.36019999999999996</v>
      </c>
      <c r="BL41" s="2">
        <v>2.3374847615999998</v>
      </c>
      <c r="BM41" s="26"/>
      <c r="BQ41" s="11" t="s">
        <v>30</v>
      </c>
      <c r="BR41" s="10">
        <v>7274</v>
      </c>
      <c r="BS41" s="12">
        <v>8443.2082199999932</v>
      </c>
      <c r="BT41" s="59">
        <v>0.26440707721363127</v>
      </c>
      <c r="BU41" s="56">
        <f t="shared" ref="BU41:BU53" si="17">BS41*BT41*365*24/1000000</f>
        <v>19.55620950794523</v>
      </c>
      <c r="BV41" s="60"/>
      <c r="CA41" s="11" t="s">
        <v>47</v>
      </c>
      <c r="CB41" s="1">
        <v>2</v>
      </c>
      <c r="CC41" s="54">
        <v>440</v>
      </c>
      <c r="CD41" s="36">
        <v>3.707233964204721E-2</v>
      </c>
      <c r="CE41" s="2">
        <f t="shared" si="14"/>
        <v>0.14289162591630677</v>
      </c>
      <c r="CF41" s="66"/>
      <c r="CL41" s="13" t="s">
        <v>34</v>
      </c>
      <c r="CM41" s="10">
        <v>319</v>
      </c>
      <c r="CN41" s="27">
        <v>4544.777689999999</v>
      </c>
      <c r="CO41" s="185">
        <v>0.74784369858143684</v>
      </c>
      <c r="CP41" s="2">
        <f t="shared" si="15"/>
        <v>29.77334220661918</v>
      </c>
      <c r="CQ41" s="241">
        <f t="shared" si="16"/>
        <v>12.548252754645171</v>
      </c>
      <c r="CS41"/>
      <c r="CU41"/>
      <c r="CV41"/>
      <c r="CW41"/>
      <c r="CX41"/>
      <c r="CY41"/>
      <c r="CZ41"/>
      <c r="DA41"/>
      <c r="DB41"/>
      <c r="DC41"/>
      <c r="DE41" s="390"/>
      <c r="DF41" s="120">
        <v>162</v>
      </c>
      <c r="DG41" s="127">
        <v>1222.592440000001</v>
      </c>
      <c r="DH41" s="122">
        <v>0.11019999999999999</v>
      </c>
      <c r="DI41" s="123">
        <v>1.1802320571388809</v>
      </c>
      <c r="DJ41" s="124">
        <v>6.631354662874732</v>
      </c>
      <c r="DK41" s="125" t="s">
        <v>83</v>
      </c>
      <c r="DN41" s="338" t="s">
        <v>96</v>
      </c>
      <c r="DO41" s="339"/>
      <c r="DP41" s="339"/>
      <c r="DQ41" s="339"/>
      <c r="DR41" s="339"/>
      <c r="DS41" s="339"/>
      <c r="DT41" s="339"/>
      <c r="DU41" s="340"/>
      <c r="ED41"/>
      <c r="EE41"/>
      <c r="EF41"/>
      <c r="EG41"/>
      <c r="EH41"/>
      <c r="EI41"/>
    </row>
    <row r="42" spans="1:139" ht="12.75" customHeight="1" x14ac:dyDescent="0.25">
      <c r="A42" s="192"/>
      <c r="B42" s="192"/>
      <c r="C42" s="192"/>
      <c r="D42" s="192"/>
      <c r="E42" s="192"/>
      <c r="F42" s="192"/>
      <c r="G42" s="193"/>
      <c r="H42" s="192"/>
      <c r="I42" s="200"/>
      <c r="M42"/>
      <c r="N42"/>
      <c r="O42"/>
      <c r="P42"/>
      <c r="Q42"/>
      <c r="R42"/>
      <c r="S42"/>
      <c r="T42"/>
      <c r="U42"/>
      <c r="V42"/>
      <c r="W42"/>
      <c r="X42"/>
      <c r="Y42" s="216" t="s">
        <v>264</v>
      </c>
      <c r="Z42" s="216"/>
      <c r="AA42" s="216"/>
      <c r="AB42" s="216"/>
      <c r="AC42" s="216"/>
      <c r="AD42" s="216"/>
      <c r="AE42" s="216"/>
      <c r="AF42" s="216"/>
      <c r="AG42" s="216"/>
      <c r="AH42" s="216"/>
      <c r="AI42" s="247" t="s">
        <v>300</v>
      </c>
      <c r="AJ42" s="247"/>
      <c r="AK42" s="247"/>
      <c r="AL42" s="247"/>
      <c r="AM42" s="247"/>
      <c r="AN42" s="247"/>
      <c r="AO42" s="247"/>
      <c r="AP42" s="256" t="s">
        <v>115</v>
      </c>
      <c r="AQ42" s="169">
        <v>787359</v>
      </c>
      <c r="AR42" s="158">
        <v>33.265356607874764</v>
      </c>
      <c r="AS42" s="144">
        <f>AV30-AR42</f>
        <v>133.59920169651343</v>
      </c>
      <c r="AT42" s="144">
        <v>155.59480871554879</v>
      </c>
      <c r="AU42" s="255">
        <f>100*AS42/AT42</f>
        <v>85.863534136767555</v>
      </c>
      <c r="AV42" s="258">
        <f>AS42*1000000000/365/24/0.1121/AW42</f>
        <v>6.2994645970529319</v>
      </c>
      <c r="AW42" s="89">
        <f>25152544*0.858635</f>
        <v>21596854.61744</v>
      </c>
      <c r="AX42" s="167"/>
      <c r="AY42" s="283"/>
      <c r="AZ42" s="285">
        <v>8</v>
      </c>
      <c r="BA42" s="288">
        <v>870883</v>
      </c>
      <c r="BB42" s="271" t="s">
        <v>21</v>
      </c>
      <c r="BC42" s="291">
        <v>83.576700890201309</v>
      </c>
      <c r="BD42" s="294">
        <v>35.223775294964803</v>
      </c>
      <c r="BH42" s="11" t="s">
        <v>44</v>
      </c>
      <c r="BI42" s="10">
        <v>16</v>
      </c>
      <c r="BJ42" s="12">
        <v>175</v>
      </c>
      <c r="BK42" s="38">
        <v>0.82</v>
      </c>
      <c r="BL42" s="2">
        <v>1.2570600000000001</v>
      </c>
      <c r="BM42" s="26"/>
      <c r="BQ42" s="11" t="s">
        <v>39</v>
      </c>
      <c r="BR42" s="9">
        <v>860468</v>
      </c>
      <c r="BS42" s="17">
        <v>12181.146853999275</v>
      </c>
      <c r="BT42" s="55">
        <v>0.10743639487298119</v>
      </c>
      <c r="BU42" s="56">
        <f t="shared" si="17"/>
        <v>11.46419888988946</v>
      </c>
      <c r="BV42" s="60"/>
      <c r="CA42" s="13" t="s">
        <v>33</v>
      </c>
      <c r="CB42" s="1">
        <v>1</v>
      </c>
      <c r="CC42" s="54">
        <v>75</v>
      </c>
      <c r="CD42" s="36">
        <v>0.36019999999999996</v>
      </c>
      <c r="CE42" s="2">
        <f t="shared" si="14"/>
        <v>0.23665139999999996</v>
      </c>
      <c r="CF42" s="66"/>
      <c r="CL42" s="13" t="s">
        <v>39</v>
      </c>
      <c r="CM42" s="10">
        <v>861147</v>
      </c>
      <c r="CN42" s="27">
        <v>22135.975938999272</v>
      </c>
      <c r="CO42" s="36">
        <v>0.10868156974773836</v>
      </c>
      <c r="CP42" s="2">
        <f t="shared" si="15"/>
        <v>21.074568089429803</v>
      </c>
      <c r="CQ42" s="5">
        <f t="shared" si="16"/>
        <v>8.882073273666693</v>
      </c>
      <c r="CS42"/>
      <c r="CU42"/>
      <c r="CV42"/>
      <c r="CW42"/>
      <c r="CX42"/>
      <c r="CY42"/>
      <c r="CZ42"/>
      <c r="DA42"/>
      <c r="DB42"/>
      <c r="DC42"/>
      <c r="DE42" s="280" t="s">
        <v>51</v>
      </c>
      <c r="DF42" s="101">
        <v>2</v>
      </c>
      <c r="DG42" s="102">
        <v>560</v>
      </c>
      <c r="DH42" s="36">
        <v>3.707233964204721E-2</v>
      </c>
      <c r="DI42" s="79">
        <v>0.18186206934802679</v>
      </c>
      <c r="DJ42" s="98">
        <v>54.216299091941508</v>
      </c>
      <c r="DK42" s="99" t="s">
        <v>83</v>
      </c>
      <c r="DN42" s="280" t="s">
        <v>23</v>
      </c>
      <c r="DO42" s="328" t="s">
        <v>89</v>
      </c>
      <c r="DP42" s="280" t="s">
        <v>79</v>
      </c>
      <c r="DQ42" s="328" t="s">
        <v>24</v>
      </c>
      <c r="DR42" s="271" t="s">
        <v>25</v>
      </c>
      <c r="DS42" s="271" t="s">
        <v>26</v>
      </c>
      <c r="DT42" s="336" t="s">
        <v>27</v>
      </c>
      <c r="DU42" s="337"/>
      <c r="ED42"/>
      <c r="EE42"/>
      <c r="EF42"/>
      <c r="EG42"/>
      <c r="EH42"/>
      <c r="EI42"/>
    </row>
    <row r="43" spans="1:139" ht="12.75" customHeight="1" x14ac:dyDescent="0.25">
      <c r="A43" s="192"/>
      <c r="B43" s="192"/>
      <c r="C43" s="192"/>
      <c r="D43" s="192"/>
      <c r="E43" s="207"/>
      <c r="F43" s="207"/>
      <c r="H43" s="208"/>
      <c r="J43" s="209" t="s">
        <v>141</v>
      </c>
      <c r="M43"/>
      <c r="N43"/>
      <c r="O43"/>
      <c r="P43"/>
      <c r="Q43"/>
      <c r="R43"/>
      <c r="S43"/>
      <c r="T43"/>
      <c r="U43"/>
      <c r="V43"/>
      <c r="W43"/>
      <c r="X43"/>
      <c r="Y43" s="352"/>
      <c r="Z43" s="352"/>
      <c r="AA43" s="352"/>
      <c r="AB43" s="352"/>
      <c r="AC43" s="352"/>
      <c r="AD43" s="352"/>
      <c r="AE43" s="352"/>
      <c r="AF43" s="352"/>
      <c r="AG43" s="352"/>
      <c r="AH43" s="352"/>
      <c r="AI43" s="247" t="s">
        <v>271</v>
      </c>
      <c r="AJ43" s="247"/>
      <c r="AK43" s="247"/>
      <c r="AL43" s="247"/>
      <c r="AM43" s="247"/>
      <c r="AN43" s="247"/>
      <c r="AO43" s="247"/>
      <c r="AP43" s="263" t="s">
        <v>117</v>
      </c>
      <c r="AQ43" s="264">
        <v>8653</v>
      </c>
      <c r="AR43" s="265">
        <v>0.49870157082668265</v>
      </c>
      <c r="AS43" s="262">
        <f>AV31-AR43</f>
        <v>0.65253272384681904</v>
      </c>
      <c r="AT43" s="262">
        <v>1.2967806127922752</v>
      </c>
      <c r="AU43" s="266">
        <f>100*AS43/AT43</f>
        <v>50.319438570396414</v>
      </c>
      <c r="AV43" s="267">
        <f>AS43*1000000000/365/24/0.1121/AW43</f>
        <v>7.1927716629504586</v>
      </c>
      <c r="AW43" s="268">
        <f>183595*0.503194</f>
        <v>92383.902430000002</v>
      </c>
      <c r="AX43" s="167"/>
      <c r="AY43" s="283"/>
      <c r="AZ43" s="286"/>
      <c r="BA43" s="289"/>
      <c r="BB43" s="272"/>
      <c r="BC43" s="292"/>
      <c r="BD43" s="295"/>
      <c r="BH43" s="11" t="s">
        <v>32</v>
      </c>
      <c r="BI43" s="10">
        <v>21</v>
      </c>
      <c r="BJ43" s="12">
        <v>305.59999999999997</v>
      </c>
      <c r="BK43" s="38">
        <v>0.35518</v>
      </c>
      <c r="BL43" s="2">
        <v>0.95083675007999979</v>
      </c>
      <c r="BM43" s="26"/>
      <c r="BQ43" s="11" t="s">
        <v>34</v>
      </c>
      <c r="BR43" s="9">
        <v>71</v>
      </c>
      <c r="BS43" s="17">
        <v>993.80000000000007</v>
      </c>
      <c r="BT43" s="55">
        <v>0.7478800000000001</v>
      </c>
      <c r="BU43" s="56">
        <f t="shared" si="17"/>
        <v>6.5108099414400007</v>
      </c>
      <c r="BV43" s="60"/>
      <c r="CA43" s="13" t="s">
        <v>31</v>
      </c>
      <c r="CB43" s="1">
        <v>2</v>
      </c>
      <c r="CC43" s="54">
        <v>2100</v>
      </c>
      <c r="CD43" s="36">
        <v>0.39923999999999998</v>
      </c>
      <c r="CE43" s="2">
        <f t="shared" si="14"/>
        <v>7.34441904</v>
      </c>
      <c r="CF43" s="66"/>
      <c r="CL43" s="13" t="s">
        <v>33</v>
      </c>
      <c r="CM43" s="10">
        <v>119</v>
      </c>
      <c r="CN43" s="27">
        <f>CN12+CN27</f>
        <v>3031.95</v>
      </c>
      <c r="CO43" s="36">
        <v>0.36019999999999996</v>
      </c>
      <c r="CP43" s="2">
        <f t="shared" si="15"/>
        <v>9.566869496399999</v>
      </c>
      <c r="CQ43" s="5">
        <f t="shared" si="16"/>
        <v>4.0320463748555335</v>
      </c>
      <c r="CS43"/>
      <c r="CU43"/>
      <c r="CV43"/>
      <c r="CW43"/>
      <c r="CX43"/>
      <c r="CY43"/>
      <c r="CZ43"/>
      <c r="DA43"/>
      <c r="DB43"/>
      <c r="DC43"/>
      <c r="DE43" s="327"/>
      <c r="DF43" s="101">
        <v>10</v>
      </c>
      <c r="DG43" s="102">
        <v>340.9</v>
      </c>
      <c r="DH43" s="36">
        <v>3.707233964204721E-2</v>
      </c>
      <c r="DI43" s="79">
        <v>0.11070853471561132</v>
      </c>
      <c r="DJ43" s="78">
        <v>33.004172072219404</v>
      </c>
      <c r="DK43" s="104" t="s">
        <v>82</v>
      </c>
      <c r="DN43" s="327"/>
      <c r="DO43" s="329"/>
      <c r="DP43" s="327"/>
      <c r="DQ43" s="329"/>
      <c r="DR43" s="272"/>
      <c r="DS43" s="272"/>
      <c r="DT43" s="328" t="s">
        <v>28</v>
      </c>
      <c r="DU43" s="271" t="s">
        <v>15</v>
      </c>
      <c r="ED43"/>
      <c r="EE43"/>
      <c r="EF43"/>
      <c r="EG43"/>
      <c r="EH43"/>
      <c r="EI43"/>
    </row>
    <row r="44" spans="1:139" ht="12.75" customHeight="1" x14ac:dyDescent="0.25">
      <c r="A44" s="192"/>
      <c r="B44" s="192"/>
      <c r="C44" s="192"/>
      <c r="D44" s="192"/>
      <c r="E44" s="207"/>
      <c r="F44" s="207"/>
      <c r="H44" s="208"/>
      <c r="J44" s="209" t="s">
        <v>231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 s="365" t="s">
        <v>236</v>
      </c>
      <c r="Z44" s="365"/>
      <c r="AA44" s="365"/>
      <c r="AB44" s="365"/>
      <c r="AC44" s="365"/>
      <c r="AD44" s="365"/>
      <c r="AE44" s="365"/>
      <c r="AF44" s="365"/>
      <c r="AG44" s="365"/>
      <c r="AH44" s="365"/>
      <c r="AI44" s="247"/>
      <c r="AJ44" s="247"/>
      <c r="AK44" s="247"/>
      <c r="AL44" s="247"/>
      <c r="AM44" s="247"/>
      <c r="AN44" s="247"/>
      <c r="AO44" s="247"/>
      <c r="AP44" s="142" t="s">
        <v>116</v>
      </c>
      <c r="AQ44" s="169">
        <v>6443</v>
      </c>
      <c r="AR44" s="166">
        <v>2.6693405424000203E-2</v>
      </c>
      <c r="AS44" s="144">
        <f>AV32-AR44</f>
        <v>1.0412346241616903</v>
      </c>
      <c r="AT44" s="144">
        <v>1.0598476548058668</v>
      </c>
      <c r="AU44" s="255">
        <f>100*AS44/AT44</f>
        <v>98.243801308633749</v>
      </c>
      <c r="AV44" s="258">
        <f>AS44*1000000000/365/24/0.1121/AW44</f>
        <v>6.1599518756839835</v>
      </c>
      <c r="AW44" s="89">
        <f>175209*0.982438</f>
        <v>172131.97954200002</v>
      </c>
      <c r="AX44" s="167"/>
      <c r="AY44" s="283"/>
      <c r="AZ44" s="286"/>
      <c r="BA44" s="289"/>
      <c r="BB44" s="272"/>
      <c r="BC44" s="292"/>
      <c r="BD44" s="295"/>
      <c r="BH44" s="13" t="s">
        <v>38</v>
      </c>
      <c r="BI44" s="9">
        <v>59</v>
      </c>
      <c r="BJ44" s="27">
        <v>123.996</v>
      </c>
      <c r="BK44" s="36">
        <v>0.61487208941832205</v>
      </c>
      <c r="BL44" s="2">
        <v>0.66787711329174493</v>
      </c>
      <c r="BM44" s="26"/>
      <c r="BQ44" s="11" t="s">
        <v>31</v>
      </c>
      <c r="BR44" s="9">
        <v>19</v>
      </c>
      <c r="BS44" s="17">
        <v>1218.5</v>
      </c>
      <c r="BT44" s="55">
        <v>0.39923999999999998</v>
      </c>
      <c r="BU44" s="56">
        <f t="shared" si="17"/>
        <v>4.2615117144000001</v>
      </c>
      <c r="BV44" s="60"/>
      <c r="CA44" s="13" t="s">
        <v>30</v>
      </c>
      <c r="CB44" s="1">
        <v>30</v>
      </c>
      <c r="CC44" s="54">
        <v>3996.5999999999995</v>
      </c>
      <c r="CD44" s="36">
        <v>0.26432000000000005</v>
      </c>
      <c r="CE44" s="2">
        <f t="shared" si="14"/>
        <v>9.253900293120001</v>
      </c>
      <c r="CF44" s="66"/>
      <c r="CL44" s="13" t="s">
        <v>44</v>
      </c>
      <c r="CM44" s="10">
        <v>66</v>
      </c>
      <c r="CN44" s="27">
        <v>955.59999999999991</v>
      </c>
      <c r="CO44" s="36">
        <v>0.82</v>
      </c>
      <c r="CP44" s="2">
        <f t="shared" si="15"/>
        <v>6.8642659199999985</v>
      </c>
      <c r="CQ44" s="5">
        <f t="shared" si="16"/>
        <v>2.8930088916959948</v>
      </c>
      <c r="CS44"/>
      <c r="CU44"/>
      <c r="CV44"/>
      <c r="CW44"/>
      <c r="CX44"/>
      <c r="CY44"/>
      <c r="CZ44"/>
      <c r="DA44"/>
      <c r="DB44"/>
      <c r="DC44"/>
      <c r="DE44" s="327"/>
      <c r="DF44" s="101">
        <v>1</v>
      </c>
      <c r="DG44" s="102">
        <v>100</v>
      </c>
      <c r="DH44" s="36">
        <v>3.707233964204721E-2</v>
      </c>
      <c r="DI44" s="79">
        <v>3.2475369526433359E-2</v>
      </c>
      <c r="DJ44" s="78">
        <v>9.6814819807038432</v>
      </c>
      <c r="DK44" s="104" t="s">
        <v>84</v>
      </c>
      <c r="DN44" s="281"/>
      <c r="DO44" s="330"/>
      <c r="DP44" s="281"/>
      <c r="DQ44" s="330"/>
      <c r="DR44" s="273"/>
      <c r="DS44" s="273"/>
      <c r="DT44" s="330"/>
      <c r="DU44" s="273"/>
      <c r="ED44"/>
      <c r="EE44"/>
      <c r="EF44"/>
      <c r="EG44"/>
      <c r="EH44"/>
      <c r="EI44"/>
    </row>
    <row r="45" spans="1:139" ht="12.75" customHeight="1" x14ac:dyDescent="0.25">
      <c r="A45" s="192"/>
      <c r="B45" s="192"/>
      <c r="C45" s="192"/>
      <c r="D45" s="192"/>
      <c r="E45" s="207"/>
      <c r="F45" s="207"/>
      <c r="H45" s="208"/>
      <c r="J45" s="209" t="s">
        <v>142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 s="352" t="s">
        <v>238</v>
      </c>
      <c r="Z45" s="352"/>
      <c r="AA45" s="352"/>
      <c r="AB45" s="352"/>
      <c r="AC45" s="352"/>
      <c r="AD45" s="352"/>
      <c r="AE45" s="352"/>
      <c r="AF45" s="352"/>
      <c r="AG45" s="352"/>
      <c r="AH45" s="352"/>
      <c r="AI45" s="137" t="s">
        <v>185</v>
      </c>
      <c r="AJ45" s="137"/>
      <c r="AK45" s="137"/>
      <c r="AL45" s="137"/>
      <c r="AM45" s="137"/>
      <c r="AN45" s="137"/>
      <c r="AO45" s="137"/>
      <c r="AQ45" s="156" t="s">
        <v>122</v>
      </c>
      <c r="AR45" s="156"/>
      <c r="AS45" s="156"/>
      <c r="AU45" s="156" t="s">
        <v>132</v>
      </c>
      <c r="AV45" s="156"/>
      <c r="AW45" s="156"/>
      <c r="AY45" s="284"/>
      <c r="AZ45" s="287"/>
      <c r="BA45" s="290"/>
      <c r="BB45" s="273"/>
      <c r="BC45" s="293"/>
      <c r="BD45" s="296"/>
      <c r="BH45" s="11" t="s">
        <v>39</v>
      </c>
      <c r="BI45" s="10">
        <v>42673</v>
      </c>
      <c r="BJ45" s="12">
        <v>458.16209460001835</v>
      </c>
      <c r="BK45" s="38">
        <v>0.10781709643090191</v>
      </c>
      <c r="BL45" s="2">
        <v>0.43272391099399388</v>
      </c>
      <c r="BM45" s="26"/>
      <c r="BQ45" s="11" t="s">
        <v>33</v>
      </c>
      <c r="BR45" s="9">
        <v>49</v>
      </c>
      <c r="BS45" s="17">
        <v>934.09999999999991</v>
      </c>
      <c r="BT45" s="55">
        <v>0.36019999999999996</v>
      </c>
      <c r="BU45" s="56">
        <f t="shared" si="17"/>
        <v>2.9474143031999991</v>
      </c>
      <c r="BV45" s="60"/>
      <c r="CA45" s="31" t="s">
        <v>48</v>
      </c>
      <c r="CB45" s="40">
        <f>SUM(CB38:CB44)</f>
        <v>38</v>
      </c>
      <c r="CC45" s="41">
        <f>SUM(CC38:CC44)</f>
        <v>7133.5999999999995</v>
      </c>
      <c r="CD45" s="44">
        <f>CE45*1000000/365/24/CC45</f>
        <v>0.30986168855031132</v>
      </c>
      <c r="CE45" s="35">
        <f>SUM(CE38:CE44)</f>
        <v>19.363361031036305</v>
      </c>
      <c r="CF45" s="46">
        <f>100*CE45/(CE45+CE56)</f>
        <v>69.114290313451576</v>
      </c>
      <c r="CL45" s="13" t="s">
        <v>36</v>
      </c>
      <c r="CM45" s="10">
        <v>276</v>
      </c>
      <c r="CN45" s="27">
        <v>809.53999999999962</v>
      </c>
      <c r="CO45" s="36">
        <v>0.43041999999999997</v>
      </c>
      <c r="CP45" s="2">
        <f t="shared" si="15"/>
        <v>3.0523537315679983</v>
      </c>
      <c r="CQ45" s="5">
        <f t="shared" si="16"/>
        <v>1.286442948006838</v>
      </c>
      <c r="CS45"/>
      <c r="CU45"/>
      <c r="CV45"/>
      <c r="CW45"/>
      <c r="CX45"/>
      <c r="CY45"/>
      <c r="CZ45"/>
      <c r="DA45"/>
      <c r="DB45"/>
      <c r="DC45"/>
      <c r="DE45" s="281"/>
      <c r="DF45" s="101">
        <v>2</v>
      </c>
      <c r="DG45" s="102">
        <v>32</v>
      </c>
      <c r="DH45" s="36">
        <v>3.707233964204721E-2</v>
      </c>
      <c r="DI45" s="79">
        <v>1.0392118248458673E-2</v>
      </c>
      <c r="DJ45" s="78">
        <v>3.0980742338252294</v>
      </c>
      <c r="DK45" s="104" t="s">
        <v>81</v>
      </c>
      <c r="DN45" s="271" t="s">
        <v>39</v>
      </c>
      <c r="DO45" s="271" t="s">
        <v>90</v>
      </c>
      <c r="DP45" s="104" t="s">
        <v>81</v>
      </c>
      <c r="DQ45" s="89">
        <v>2</v>
      </c>
      <c r="DR45" s="2">
        <f>419.8</f>
        <v>419.8</v>
      </c>
      <c r="DS45" s="36">
        <v>0.11019999999999999</v>
      </c>
      <c r="DT45" s="145">
        <f t="shared" ref="DT45:DT57" si="18">DR45*365*24*DS45/1000000</f>
        <v>0.40525476960000001</v>
      </c>
      <c r="DU45" s="114">
        <f>100*DT45/17.7978</f>
        <v>2.2769936149411727</v>
      </c>
      <c r="ED45"/>
      <c r="EE45"/>
      <c r="EF45"/>
      <c r="EG45"/>
      <c r="EH45"/>
      <c r="EI45"/>
    </row>
    <row r="46" spans="1:139" ht="12.75" customHeight="1" x14ac:dyDescent="0.25">
      <c r="A46" s="192"/>
      <c r="B46" s="192"/>
      <c r="C46" s="192"/>
      <c r="D46" s="192"/>
      <c r="E46" s="207"/>
      <c r="F46" s="207"/>
      <c r="G46" s="208"/>
      <c r="H46" s="207"/>
      <c r="I46" s="209"/>
      <c r="N46"/>
      <c r="O46"/>
      <c r="P46"/>
      <c r="Q46"/>
      <c r="R46"/>
      <c r="S46"/>
      <c r="T46"/>
      <c r="U46"/>
      <c r="V46"/>
      <c r="W46"/>
      <c r="X46"/>
      <c r="Y46" s="352"/>
      <c r="Z46" s="352"/>
      <c r="AA46" s="352"/>
      <c r="AB46" s="352"/>
      <c r="AC46" s="352"/>
      <c r="AD46" s="352"/>
      <c r="AE46" s="352"/>
      <c r="AF46" s="352"/>
      <c r="AG46" s="352"/>
      <c r="AH46" s="352"/>
      <c r="AI46" s="137" t="s">
        <v>186</v>
      </c>
      <c r="AJ46" s="137"/>
      <c r="AK46" s="137"/>
      <c r="AL46" s="137"/>
      <c r="AM46" s="137"/>
      <c r="AN46" s="137"/>
      <c r="AO46" s="137"/>
      <c r="AP46" s="216"/>
      <c r="AQ46" s="156" t="s">
        <v>262</v>
      </c>
      <c r="AR46" s="156"/>
      <c r="AU46" s="160" t="s">
        <v>133</v>
      </c>
      <c r="AW46" s="160"/>
      <c r="BF46" s="351"/>
      <c r="BG46" s="351"/>
      <c r="BH46" s="11" t="s">
        <v>37</v>
      </c>
      <c r="BI46" s="10">
        <v>252</v>
      </c>
      <c r="BJ46" s="12">
        <v>106.54031000000001</v>
      </c>
      <c r="BK46" s="38">
        <v>0.38144910852834207</v>
      </c>
      <c r="BL46" s="2">
        <v>0.35600382694125893</v>
      </c>
      <c r="BM46" s="26"/>
      <c r="BQ46" s="11" t="s">
        <v>36</v>
      </c>
      <c r="BR46" s="9">
        <v>269</v>
      </c>
      <c r="BS46" s="17">
        <v>748.6999999999997</v>
      </c>
      <c r="BT46" s="55">
        <v>0.43041999999999997</v>
      </c>
      <c r="BU46" s="56">
        <f t="shared" si="17"/>
        <v>2.8229577770399992</v>
      </c>
      <c r="BV46" s="60"/>
      <c r="CA46" s="13" t="s">
        <v>44</v>
      </c>
      <c r="CB46" s="1">
        <v>1</v>
      </c>
      <c r="CC46" s="54">
        <v>28</v>
      </c>
      <c r="CD46" s="36">
        <v>0.82</v>
      </c>
      <c r="CE46" s="2">
        <v>0.20112959999999996</v>
      </c>
      <c r="CF46" s="66"/>
      <c r="CL46" s="13" t="s">
        <v>38</v>
      </c>
      <c r="CM46" s="10">
        <v>248</v>
      </c>
      <c r="CN46" s="27">
        <v>430.27799999999996</v>
      </c>
      <c r="CO46" s="103">
        <v>0.61603970572952194</v>
      </c>
      <c r="CP46" s="2">
        <f t="shared" si="15"/>
        <v>2.3219985927165316</v>
      </c>
      <c r="CQ46" s="5">
        <f t="shared" si="16"/>
        <v>0.97862796306622613</v>
      </c>
      <c r="CV46"/>
      <c r="CW46"/>
      <c r="CX46"/>
      <c r="CY46"/>
      <c r="CZ46"/>
      <c r="DA46"/>
      <c r="DB46"/>
      <c r="DC46"/>
      <c r="DE46" s="359" t="s">
        <v>86</v>
      </c>
      <c r="DF46" s="120">
        <v>42</v>
      </c>
      <c r="DG46" s="121">
        <v>23475.499999999996</v>
      </c>
      <c r="DH46" s="122">
        <v>0.39923999999999998</v>
      </c>
      <c r="DI46" s="123">
        <v>82.101861511199999</v>
      </c>
      <c r="DJ46" s="98">
        <v>80.775636226974697</v>
      </c>
      <c r="DK46" s="99" t="s">
        <v>81</v>
      </c>
      <c r="DN46" s="272"/>
      <c r="DO46" s="272"/>
      <c r="DP46" s="104" t="s">
        <v>83</v>
      </c>
      <c r="DQ46" s="89">
        <v>1</v>
      </c>
      <c r="DR46" s="2">
        <v>62</v>
      </c>
      <c r="DS46" s="36">
        <v>0.11019999999999999</v>
      </c>
      <c r="DT46" s="145">
        <f t="shared" si="18"/>
        <v>5.9851823999999991E-2</v>
      </c>
      <c r="DU46" s="114">
        <f t="shared" ref="DU46:DU56" si="19">100*DT46/17.7978</f>
        <v>0.336287765903651</v>
      </c>
      <c r="ED46"/>
      <c r="EE46"/>
      <c r="EF46"/>
      <c r="EG46"/>
      <c r="EH46"/>
      <c r="EI46"/>
    </row>
    <row r="47" spans="1:139" ht="12.75" customHeight="1" x14ac:dyDescent="0.25">
      <c r="A47" s="192"/>
      <c r="B47" s="201"/>
      <c r="C47" s="192"/>
      <c r="D47" s="192"/>
      <c r="E47" s="207"/>
      <c r="F47" s="207"/>
      <c r="G47" s="208"/>
      <c r="H47" s="207"/>
      <c r="I47" s="209"/>
      <c r="N47"/>
      <c r="O47"/>
      <c r="P47"/>
      <c r="Q47"/>
      <c r="R47"/>
      <c r="S47"/>
      <c r="T47"/>
      <c r="U47"/>
      <c r="V47"/>
      <c r="W47"/>
      <c r="X47"/>
      <c r="Y47" s="352" t="s">
        <v>190</v>
      </c>
      <c r="Z47" s="352"/>
      <c r="AA47" s="352"/>
      <c r="AB47" s="352"/>
      <c r="AC47" s="352"/>
      <c r="AD47" s="352"/>
      <c r="AE47" s="352"/>
      <c r="AF47" s="352"/>
      <c r="AG47" s="352"/>
      <c r="AH47" s="352"/>
      <c r="AI47" s="137" t="s">
        <v>241</v>
      </c>
      <c r="AJ47" s="137"/>
      <c r="AK47" s="137"/>
      <c r="AL47" s="137"/>
      <c r="AM47" s="137"/>
      <c r="AN47" s="137"/>
      <c r="AO47" s="137"/>
      <c r="AP47" s="216"/>
      <c r="AQ47" s="216"/>
      <c r="AU47" s="156"/>
      <c r="BC47" s="351"/>
      <c r="BD47" s="351"/>
      <c r="BF47" s="351"/>
      <c r="BG47" s="351"/>
      <c r="BH47" s="11" t="s">
        <v>46</v>
      </c>
      <c r="BI47" s="10">
        <v>2</v>
      </c>
      <c r="BJ47" s="12">
        <v>10</v>
      </c>
      <c r="BK47" s="38">
        <v>0.91</v>
      </c>
      <c r="BL47" s="2">
        <v>7.9715999999999995E-2</v>
      </c>
      <c r="BM47" s="26"/>
      <c r="BQ47" s="11" t="s">
        <v>38</v>
      </c>
      <c r="BR47" s="9">
        <v>213</v>
      </c>
      <c r="BS47" s="17">
        <v>340.11167999999998</v>
      </c>
      <c r="BT47" s="55">
        <v>0.61670275017270437</v>
      </c>
      <c r="BU47" s="56">
        <f t="shared" si="17"/>
        <v>1.8373908017754825</v>
      </c>
      <c r="BV47" s="60"/>
      <c r="CA47" s="13" t="s">
        <v>38</v>
      </c>
      <c r="CB47" s="1">
        <v>4</v>
      </c>
      <c r="CC47" s="54">
        <v>5.6</v>
      </c>
      <c r="CD47" s="36">
        <v>0.61427999999999994</v>
      </c>
      <c r="CE47" s="28">
        <v>3.0134119679999995E-2</v>
      </c>
      <c r="CF47" s="66"/>
      <c r="CL47" s="13" t="s">
        <v>32</v>
      </c>
      <c r="CM47" s="10">
        <v>25</v>
      </c>
      <c r="CN47" s="27">
        <v>680.59999999999991</v>
      </c>
      <c r="CO47" s="36">
        <v>0.35518</v>
      </c>
      <c r="CP47" s="2">
        <f t="shared" si="15"/>
        <v>2.1176030500799996</v>
      </c>
      <c r="CQ47" s="5">
        <f t="shared" si="16"/>
        <v>0.89248355532298485</v>
      </c>
      <c r="CV47"/>
      <c r="CW47"/>
      <c r="CX47"/>
      <c r="CY47"/>
      <c r="CZ47"/>
      <c r="DA47"/>
      <c r="DB47"/>
      <c r="DC47"/>
      <c r="DE47" s="360"/>
      <c r="DF47" s="120">
        <v>17</v>
      </c>
      <c r="DG47" s="121">
        <v>4561.0999999999995</v>
      </c>
      <c r="DH47" s="122">
        <v>0.39923999999999998</v>
      </c>
      <c r="DI47" s="123">
        <v>15.951728420639997</v>
      </c>
      <c r="DJ47" s="124">
        <v>15.69405356200525</v>
      </c>
      <c r="DK47" s="125" t="s">
        <v>82</v>
      </c>
      <c r="DN47" s="272"/>
      <c r="DO47" s="273"/>
      <c r="DP47" s="128" t="s">
        <v>91</v>
      </c>
      <c r="DQ47" s="92">
        <f>SUM(DQ45:DQ46)</f>
        <v>3</v>
      </c>
      <c r="DR47" s="93">
        <f>SUM(DR45:DR46)</f>
        <v>481.8</v>
      </c>
      <c r="DS47" s="83">
        <v>0.11019999999999999</v>
      </c>
      <c r="DT47" s="146">
        <f t="shared" si="18"/>
        <v>0.46510659359999995</v>
      </c>
      <c r="DU47" s="46">
        <f t="shared" si="19"/>
        <v>2.6132813808448234</v>
      </c>
      <c r="ED47"/>
      <c r="EE47"/>
      <c r="EF47"/>
      <c r="EG47"/>
      <c r="EH47"/>
      <c r="EI47"/>
    </row>
    <row r="48" spans="1:139" ht="12.75" customHeight="1" x14ac:dyDescent="0.25">
      <c r="A48" s="192"/>
      <c r="B48" s="200"/>
      <c r="C48" s="192"/>
      <c r="D48" s="192"/>
      <c r="E48" s="207"/>
      <c r="F48" s="207"/>
      <c r="G48" s="208"/>
      <c r="J48" s="227" t="s">
        <v>301</v>
      </c>
      <c r="K48" s="227"/>
      <c r="M48"/>
      <c r="N48"/>
      <c r="O48"/>
      <c r="P48"/>
      <c r="Q48"/>
      <c r="R48"/>
      <c r="S48"/>
      <c r="T48"/>
      <c r="U48"/>
      <c r="V48"/>
      <c r="W48"/>
      <c r="X48"/>
      <c r="Y48" s="351" t="s">
        <v>189</v>
      </c>
      <c r="Z48" s="351"/>
      <c r="AA48" s="351"/>
      <c r="AB48" s="351"/>
      <c r="AC48" s="351"/>
      <c r="AD48" s="351"/>
      <c r="AE48" s="351"/>
      <c r="AF48" s="351"/>
      <c r="AG48" s="351"/>
      <c r="AH48" s="351"/>
      <c r="AI48" s="137" t="s">
        <v>268</v>
      </c>
      <c r="AJ48" s="137"/>
      <c r="AK48" s="137"/>
      <c r="AL48" s="137"/>
      <c r="AM48" s="137"/>
      <c r="AN48" s="137"/>
      <c r="AO48" s="137"/>
      <c r="AP48" s="15" t="s">
        <v>7</v>
      </c>
      <c r="AR48" s="137"/>
      <c r="AS48" s="137"/>
      <c r="AT48" s="137"/>
      <c r="AU48" s="137"/>
      <c r="AV48" s="137"/>
      <c r="AW48" s="137"/>
      <c r="BE48" s="136"/>
      <c r="BF48" s="391"/>
      <c r="BG48" s="391"/>
      <c r="BH48" s="11" t="s">
        <v>40</v>
      </c>
      <c r="BI48" s="10">
        <v>3</v>
      </c>
      <c r="BJ48" s="12">
        <v>15.5</v>
      </c>
      <c r="BK48" s="38">
        <v>0.46838000000000002</v>
      </c>
      <c r="BL48" s="2">
        <v>6.3596636400000003E-2</v>
      </c>
      <c r="BM48" s="20"/>
      <c r="BQ48" s="11" t="s">
        <v>44</v>
      </c>
      <c r="BR48" s="9">
        <v>18</v>
      </c>
      <c r="BS48" s="17">
        <v>206.3</v>
      </c>
      <c r="BT48" s="55">
        <v>0.82</v>
      </c>
      <c r="BU48" s="56">
        <f t="shared" si="17"/>
        <v>1.48189416</v>
      </c>
      <c r="BV48" s="60"/>
      <c r="CA48" s="13" t="s">
        <v>32</v>
      </c>
      <c r="CB48" s="1">
        <v>1</v>
      </c>
      <c r="CC48" s="54">
        <v>10</v>
      </c>
      <c r="CD48" s="36">
        <v>0.35518</v>
      </c>
      <c r="CE48" s="28">
        <v>3.1113767999999997E-2</v>
      </c>
      <c r="CF48" s="66"/>
      <c r="CL48" s="13" t="s">
        <v>37</v>
      </c>
      <c r="CM48" s="10">
        <v>1067</v>
      </c>
      <c r="CN48" s="27">
        <v>226.14931800000005</v>
      </c>
      <c r="CO48" s="36">
        <v>0.38085541631427072</v>
      </c>
      <c r="CP48" s="2">
        <f t="shared" si="15"/>
        <v>0.75450048766724698</v>
      </c>
      <c r="CQ48" s="5">
        <f t="shared" si="16"/>
        <v>0.31799126739109634</v>
      </c>
      <c r="CV48"/>
      <c r="CW48"/>
      <c r="CX48"/>
      <c r="CY48"/>
      <c r="CZ48"/>
      <c r="DA48"/>
      <c r="DB48"/>
      <c r="DC48"/>
      <c r="DE48" s="361"/>
      <c r="DF48" s="120">
        <v>4</v>
      </c>
      <c r="DG48" s="121">
        <v>1026</v>
      </c>
      <c r="DH48" s="122">
        <v>0.39923999999999998</v>
      </c>
      <c r="DI48" s="123">
        <v>3.5882733023999993</v>
      </c>
      <c r="DJ48" s="124">
        <v>3.5303104414762636</v>
      </c>
      <c r="DK48" s="125" t="s">
        <v>83</v>
      </c>
      <c r="DN48" s="272"/>
      <c r="DO48" s="271" t="s">
        <v>92</v>
      </c>
      <c r="DP48" s="104" t="s">
        <v>81</v>
      </c>
      <c r="DQ48" s="89">
        <f>1650-2</f>
        <v>1648</v>
      </c>
      <c r="DR48" s="2">
        <f>DR53-DR45</f>
        <v>15919.085255000013</v>
      </c>
      <c r="DS48" s="36">
        <v>0.11019999999999999</v>
      </c>
      <c r="DT48" s="145">
        <f t="shared" si="18"/>
        <v>15.367520789084772</v>
      </c>
      <c r="DU48" s="114">
        <f t="shared" si="19"/>
        <v>86.345058316672691</v>
      </c>
      <c r="ED48"/>
      <c r="EE48"/>
      <c r="EF48"/>
      <c r="EG48"/>
      <c r="EH48"/>
      <c r="EI48"/>
    </row>
    <row r="49" spans="1:139" ht="12.75" customHeight="1" x14ac:dyDescent="0.25">
      <c r="A49" s="192"/>
      <c r="B49" s="192"/>
      <c r="C49" s="192"/>
      <c r="D49" s="192"/>
      <c r="E49" s="192"/>
      <c r="F49" s="192"/>
      <c r="G49" s="193"/>
      <c r="H49" s="192"/>
      <c r="I49" s="192"/>
      <c r="M49"/>
      <c r="N49"/>
      <c r="O49"/>
      <c r="P49"/>
      <c r="Q49"/>
      <c r="R49"/>
      <c r="S49"/>
      <c r="T49"/>
      <c r="U49"/>
      <c r="V49"/>
      <c r="W49"/>
      <c r="X49"/>
      <c r="Y49" s="351"/>
      <c r="Z49" s="351"/>
      <c r="AA49" s="351"/>
      <c r="AB49" s="351"/>
      <c r="AC49" s="351"/>
      <c r="AD49" s="351"/>
      <c r="AE49" s="351"/>
      <c r="AF49" s="351"/>
      <c r="AG49" s="351"/>
      <c r="AH49" s="351"/>
      <c r="AI49" s="137" t="s">
        <v>274</v>
      </c>
      <c r="AJ49" s="137"/>
      <c r="AK49" s="137"/>
      <c r="AL49" s="137"/>
      <c r="AM49" s="137"/>
      <c r="AN49" s="137"/>
      <c r="AO49" s="137"/>
      <c r="AP49" s="216" t="s">
        <v>242</v>
      </c>
      <c r="AQ49" s="216"/>
      <c r="BE49" s="136"/>
      <c r="BF49" s="391"/>
      <c r="BG49" s="391"/>
      <c r="BH49" s="11" t="s">
        <v>41</v>
      </c>
      <c r="BI49" s="10">
        <v>2</v>
      </c>
      <c r="BJ49" s="12">
        <v>24</v>
      </c>
      <c r="BK49" s="39">
        <v>3.7072339642047217E-2</v>
      </c>
      <c r="BL49" s="28">
        <v>7.7940886863440062E-3</v>
      </c>
      <c r="BM49" s="20"/>
      <c r="BQ49" s="11" t="s">
        <v>32</v>
      </c>
      <c r="BR49" s="9">
        <v>21</v>
      </c>
      <c r="BS49" s="17">
        <v>305.59999999999997</v>
      </c>
      <c r="BT49" s="55">
        <v>0.35518</v>
      </c>
      <c r="BU49" s="56">
        <f t="shared" si="17"/>
        <v>0.95083675007999979</v>
      </c>
      <c r="BV49" s="60"/>
      <c r="CA49" s="13" t="s">
        <v>37</v>
      </c>
      <c r="CB49" s="1">
        <v>3</v>
      </c>
      <c r="CC49" s="54">
        <v>2.75</v>
      </c>
      <c r="CD49" s="36">
        <v>0.38167999999999991</v>
      </c>
      <c r="CE49" s="72">
        <v>9.1946711999999972E-3</v>
      </c>
      <c r="CF49" s="66"/>
      <c r="CL49" s="13" t="s">
        <v>47</v>
      </c>
      <c r="CM49" s="10">
        <v>15</v>
      </c>
      <c r="CN49" s="27">
        <v>1032.9000000000001</v>
      </c>
      <c r="CO49" s="36">
        <v>3.707233964204721E-2</v>
      </c>
      <c r="CP49" s="2">
        <f t="shared" si="15"/>
        <v>0.33543809183853018</v>
      </c>
      <c r="CQ49" s="5">
        <f t="shared" si="16"/>
        <v>0.1413735122753528</v>
      </c>
      <c r="CV49"/>
      <c r="CW49"/>
      <c r="CX49"/>
      <c r="CY49"/>
      <c r="CZ49"/>
      <c r="DA49"/>
      <c r="DB49"/>
      <c r="DC49"/>
      <c r="DE49" s="385" t="s">
        <v>63</v>
      </c>
      <c r="DF49" s="101">
        <v>533</v>
      </c>
      <c r="DG49" s="102">
        <v>18856.400000000001</v>
      </c>
      <c r="DH49" s="36">
        <v>0.26432000000000005</v>
      </c>
      <c r="DI49" s="79">
        <v>43.660923156480017</v>
      </c>
      <c r="DJ49" s="98">
        <v>73.846900474631383</v>
      </c>
      <c r="DK49" s="99" t="s">
        <v>82</v>
      </c>
      <c r="DN49" s="272"/>
      <c r="DO49" s="272"/>
      <c r="DP49" s="104" t="s">
        <v>82</v>
      </c>
      <c r="DQ49" s="101">
        <v>79</v>
      </c>
      <c r="DR49" s="115">
        <v>508.21334999999993</v>
      </c>
      <c r="DS49" s="36">
        <v>0.11019999999999999</v>
      </c>
      <c r="DT49" s="145">
        <f t="shared" si="18"/>
        <v>0.49060477384919993</v>
      </c>
      <c r="DU49" s="114">
        <f t="shared" si="19"/>
        <v>2.7565472915146811</v>
      </c>
      <c r="ED49"/>
      <c r="EE49"/>
      <c r="EF49"/>
      <c r="EG49"/>
      <c r="EH49"/>
      <c r="EI49"/>
    </row>
    <row r="50" spans="1:139" ht="12.75" customHeight="1" x14ac:dyDescent="0.25">
      <c r="A50" s="192"/>
      <c r="B50" s="192"/>
      <c r="C50" s="192"/>
      <c r="D50" s="192"/>
      <c r="E50" s="192"/>
      <c r="F50" s="192"/>
      <c r="G50" s="193"/>
      <c r="H50" s="192"/>
      <c r="I50" s="192"/>
      <c r="M50"/>
      <c r="N50"/>
      <c r="O50"/>
      <c r="P50"/>
      <c r="Q50"/>
      <c r="R50"/>
      <c r="S50"/>
      <c r="T50"/>
      <c r="U50"/>
      <c r="V50"/>
      <c r="W50"/>
      <c r="X50"/>
      <c r="Y50" s="352" t="s">
        <v>154</v>
      </c>
      <c r="Z50" s="352"/>
      <c r="AA50" s="352"/>
      <c r="AB50" s="352"/>
      <c r="AC50" s="352"/>
      <c r="AD50" s="352"/>
      <c r="AE50" s="352"/>
      <c r="AF50" s="352"/>
      <c r="AG50" s="352"/>
      <c r="AH50" s="352"/>
      <c r="AI50" s="137"/>
      <c r="AJ50" s="137"/>
      <c r="AK50" s="137"/>
      <c r="AL50" s="137"/>
      <c r="AM50" s="137"/>
      <c r="AN50" s="137"/>
      <c r="AO50" s="137"/>
      <c r="AP50" s="15" t="s">
        <v>171</v>
      </c>
      <c r="BH50" s="13" t="s">
        <v>47</v>
      </c>
      <c r="BI50" s="9">
        <v>2</v>
      </c>
      <c r="BJ50" s="17">
        <v>12</v>
      </c>
      <c r="BK50" s="36">
        <v>3.707233964204721E-2</v>
      </c>
      <c r="BL50" s="28">
        <v>3.8970443431720026E-3</v>
      </c>
      <c r="BM50" s="29"/>
      <c r="BQ50" s="11" t="s">
        <v>37</v>
      </c>
      <c r="BR50" s="9">
        <v>1033</v>
      </c>
      <c r="BS50" s="17">
        <v>190.89931800000002</v>
      </c>
      <c r="BT50" s="55">
        <v>0.38070315503211177</v>
      </c>
      <c r="BU50" s="56">
        <f t="shared" si="17"/>
        <v>0.63664152046724687</v>
      </c>
      <c r="BV50" s="60"/>
      <c r="CA50" s="13" t="s">
        <v>36</v>
      </c>
      <c r="CB50" s="1">
        <v>4</v>
      </c>
      <c r="CC50" s="54">
        <v>16.34</v>
      </c>
      <c r="CD50" s="36">
        <v>0.43041999999999997</v>
      </c>
      <c r="CE50" s="2">
        <v>5.9851823999999998E-2</v>
      </c>
      <c r="CF50" s="66"/>
      <c r="CL50" s="13" t="s">
        <v>40</v>
      </c>
      <c r="CM50" s="10">
        <v>12</v>
      </c>
      <c r="CN50" s="27">
        <v>50.20000000000001</v>
      </c>
      <c r="CO50" s="36">
        <v>0.46838000000000002</v>
      </c>
      <c r="CP50" s="2">
        <f t="shared" si="15"/>
        <v>0.20597104176000006</v>
      </c>
      <c r="CQ50" s="5">
        <f t="shared" si="16"/>
        <v>8.6808416542750635E-2</v>
      </c>
      <c r="CV50"/>
      <c r="CW50"/>
      <c r="CX50"/>
      <c r="CY50"/>
      <c r="CZ50"/>
      <c r="DA50"/>
      <c r="DB50"/>
      <c r="DC50"/>
      <c r="DE50" s="386"/>
      <c r="DF50" s="101">
        <v>296</v>
      </c>
      <c r="DG50" s="102">
        <v>3000</v>
      </c>
      <c r="DH50" s="36">
        <v>0.26432000000000005</v>
      </c>
      <c r="DI50" s="79">
        <v>6.9465618389529533</v>
      </c>
      <c r="DJ50" s="78">
        <v>11.749226165546524</v>
      </c>
      <c r="DK50" s="108" t="s">
        <v>81</v>
      </c>
      <c r="DN50" s="272"/>
      <c r="DO50" s="272"/>
      <c r="DP50" s="104" t="s">
        <v>83</v>
      </c>
      <c r="DQ50" s="89">
        <v>161</v>
      </c>
      <c r="DR50" s="2">
        <f>DR55-DR46</f>
        <v>1160.592440000001</v>
      </c>
      <c r="DS50" s="36">
        <v>0.11019999999999999</v>
      </c>
      <c r="DT50" s="145">
        <f t="shared" si="18"/>
        <v>1.120380233138881</v>
      </c>
      <c r="DU50" s="114">
        <f t="shared" si="19"/>
        <v>6.2950490124559275</v>
      </c>
      <c r="ED50"/>
      <c r="EE50"/>
      <c r="EF50"/>
      <c r="EG50"/>
      <c r="EH50"/>
      <c r="EI50"/>
    </row>
    <row r="51" spans="1:139" ht="12.75" customHeight="1" x14ac:dyDescent="0.25">
      <c r="A51" s="192"/>
      <c r="B51" s="192"/>
      <c r="C51" s="192"/>
      <c r="D51" s="192"/>
      <c r="E51" s="192"/>
      <c r="F51" s="192"/>
      <c r="G51" s="193"/>
      <c r="H51" s="192"/>
      <c r="I51" s="192"/>
      <c r="M51"/>
      <c r="N51"/>
      <c r="O51"/>
      <c r="P51"/>
      <c r="Q51"/>
      <c r="R51"/>
      <c r="S51"/>
      <c r="T51"/>
      <c r="U51"/>
      <c r="V51"/>
      <c r="W51"/>
      <c r="X51"/>
      <c r="Y51" s="351" t="s">
        <v>237</v>
      </c>
      <c r="Z51" s="351"/>
      <c r="AA51" s="351"/>
      <c r="AB51" s="351"/>
      <c r="AC51" s="351"/>
      <c r="AD51" s="351"/>
      <c r="AE51" s="351"/>
      <c r="AF51" s="351"/>
      <c r="AG51" s="351"/>
      <c r="AH51" s="351"/>
      <c r="AI51" s="269" t="s">
        <v>278</v>
      </c>
      <c r="AJ51" s="269"/>
      <c r="AK51" s="269"/>
      <c r="AL51" s="269"/>
      <c r="AM51" s="269"/>
      <c r="AN51" s="269"/>
      <c r="AO51" s="269"/>
      <c r="AP51" s="15" t="s">
        <v>8</v>
      </c>
      <c r="BH51" s="30" t="s">
        <v>42</v>
      </c>
      <c r="BI51" s="43">
        <v>45472</v>
      </c>
      <c r="BJ51" s="34">
        <v>9878.0576666000197</v>
      </c>
      <c r="BK51" s="37">
        <v>0.34630509226427153</v>
      </c>
      <c r="BL51" s="35">
        <v>29.966397843423742</v>
      </c>
      <c r="BM51" s="46">
        <v>53.62138887549731</v>
      </c>
      <c r="BQ51" s="11" t="s">
        <v>40</v>
      </c>
      <c r="BR51" s="9">
        <v>12</v>
      </c>
      <c r="BS51" s="17">
        <v>50.20000000000001</v>
      </c>
      <c r="BT51" s="55">
        <v>0.46838000000000002</v>
      </c>
      <c r="BU51" s="56">
        <f t="shared" si="17"/>
        <v>0.20597104176000006</v>
      </c>
      <c r="BV51" s="60"/>
      <c r="CA51" s="13" t="s">
        <v>41</v>
      </c>
      <c r="CB51" s="1">
        <v>2</v>
      </c>
      <c r="CC51" s="54">
        <v>27</v>
      </c>
      <c r="CD51" s="36">
        <v>3.707233964204721E-2</v>
      </c>
      <c r="CE51" s="72">
        <v>8.768349772137007E-3</v>
      </c>
      <c r="CF51" s="66"/>
      <c r="CL51" s="13" t="s">
        <v>46</v>
      </c>
      <c r="CM51" s="10">
        <v>2</v>
      </c>
      <c r="CN51" s="27">
        <v>10</v>
      </c>
      <c r="CO51" s="36">
        <v>0.91</v>
      </c>
      <c r="CP51" s="2">
        <f t="shared" si="15"/>
        <v>7.9715999999999995E-2</v>
      </c>
      <c r="CQ51" s="5">
        <f t="shared" si="16"/>
        <v>3.3597051672852145E-2</v>
      </c>
      <c r="CV51"/>
      <c r="CW51"/>
      <c r="CX51"/>
      <c r="CY51"/>
      <c r="CZ51"/>
      <c r="DA51"/>
      <c r="DB51"/>
      <c r="DC51"/>
      <c r="DE51" s="386"/>
      <c r="DF51" s="101">
        <v>95</v>
      </c>
      <c r="DG51" s="109">
        <v>1870.4999999999995</v>
      </c>
      <c r="DH51" s="36">
        <v>0.26432000000000005</v>
      </c>
      <c r="DI51" s="79">
        <v>4.3310365056000011</v>
      </c>
      <c r="DJ51" s="78">
        <v>7.3253976017584472</v>
      </c>
      <c r="DK51" s="104" t="s">
        <v>83</v>
      </c>
      <c r="DN51" s="272"/>
      <c r="DO51" s="272"/>
      <c r="DP51" s="104" t="s">
        <v>95</v>
      </c>
      <c r="DQ51" s="89">
        <v>32</v>
      </c>
      <c r="DR51" s="2">
        <v>366.84999999999997</v>
      </c>
      <c r="DS51" s="36">
        <v>0.11019999999999999</v>
      </c>
      <c r="DT51" s="145">
        <f t="shared" si="18"/>
        <v>0.35413938119999999</v>
      </c>
      <c r="DU51" s="114">
        <f t="shared" si="19"/>
        <v>1.989793014867006</v>
      </c>
      <c r="ED51"/>
      <c r="EE51"/>
      <c r="EF51"/>
      <c r="EG51"/>
      <c r="EH51"/>
      <c r="EI51"/>
    </row>
    <row r="52" spans="1:139" ht="12.75" customHeight="1" x14ac:dyDescent="0.25">
      <c r="A52" s="192"/>
      <c r="B52" s="192"/>
      <c r="C52" s="192"/>
      <c r="D52" s="192"/>
      <c r="E52" s="192"/>
      <c r="F52" s="192"/>
      <c r="G52" s="193"/>
      <c r="H52" s="192"/>
      <c r="I52" s="192"/>
      <c r="M52"/>
      <c r="N52"/>
      <c r="O52"/>
      <c r="P52"/>
      <c r="Q52"/>
      <c r="R52"/>
      <c r="S52"/>
      <c r="T52"/>
      <c r="U52"/>
      <c r="V52"/>
      <c r="W52"/>
      <c r="X52"/>
      <c r="Y52" s="351"/>
      <c r="Z52" s="351"/>
      <c r="AA52" s="351"/>
      <c r="AB52" s="351"/>
      <c r="AC52" s="351"/>
      <c r="AD52" s="351"/>
      <c r="AE52" s="351"/>
      <c r="AF52" s="351"/>
      <c r="AG52" s="351"/>
      <c r="AH52" s="351"/>
      <c r="AI52" s="269" t="s">
        <v>279</v>
      </c>
      <c r="AJ52" s="269"/>
      <c r="AK52" s="269"/>
      <c r="AL52" s="269"/>
      <c r="AM52" s="269"/>
      <c r="AN52" s="269"/>
      <c r="AO52" s="269"/>
      <c r="AP52" s="137" t="s">
        <v>172</v>
      </c>
      <c r="BH52" s="32" t="s">
        <v>134</v>
      </c>
      <c r="BI52" s="40">
        <f>BI36+BI51</f>
        <v>45529</v>
      </c>
      <c r="BJ52" s="40">
        <f t="shared" ref="BJ52:BM52" si="20">BJ36+BJ51</f>
        <v>18030.857666600019</v>
      </c>
      <c r="BK52" s="176">
        <f>BL52*1000000/365/24/BJ52</f>
        <v>0.35381479647754766</v>
      </c>
      <c r="BL52" s="175">
        <f t="shared" si="20"/>
        <v>55.885157904063746</v>
      </c>
      <c r="BM52" s="177">
        <f t="shared" si="20"/>
        <v>100</v>
      </c>
      <c r="BQ52" s="11" t="s">
        <v>46</v>
      </c>
      <c r="BR52" s="9">
        <v>1</v>
      </c>
      <c r="BS52" s="17">
        <v>3</v>
      </c>
      <c r="BT52" s="55">
        <v>0.91</v>
      </c>
      <c r="BU52" s="56">
        <v>2.3914800000000003E-2</v>
      </c>
      <c r="BV52" s="60"/>
      <c r="CA52" s="69" t="s">
        <v>39</v>
      </c>
      <c r="CB52" s="1">
        <v>245</v>
      </c>
      <c r="CC52" s="54">
        <v>4898.3886149999998</v>
      </c>
      <c r="CD52" s="36">
        <v>0.11019999999999999</v>
      </c>
      <c r="CE52" s="2">
        <v>4.7286692462674793</v>
      </c>
      <c r="CF52" s="66"/>
      <c r="CL52" s="13" t="s">
        <v>41</v>
      </c>
      <c r="CM52" s="10">
        <v>4</v>
      </c>
      <c r="CN52" s="27">
        <v>51</v>
      </c>
      <c r="CO52" s="36">
        <v>3.707233964204721E-2</v>
      </c>
      <c r="CP52" s="2">
        <f t="shared" si="15"/>
        <v>1.6562438458481009E-2</v>
      </c>
      <c r="CQ52" s="5">
        <f t="shared" si="16"/>
        <v>6.9803941582369921E-3</v>
      </c>
      <c r="CW52"/>
      <c r="CX52"/>
      <c r="CY52"/>
      <c r="CZ52"/>
      <c r="DA52"/>
      <c r="DB52"/>
      <c r="DC52"/>
      <c r="DE52" s="387"/>
      <c r="DF52" s="101">
        <v>205</v>
      </c>
      <c r="DG52" s="102">
        <v>1807.1499999999987</v>
      </c>
      <c r="DH52" s="36">
        <v>0.26432000000000005</v>
      </c>
      <c r="DI52" s="79">
        <v>4.1850478118399987</v>
      </c>
      <c r="DJ52" s="78">
        <v>7.0784762872484892</v>
      </c>
      <c r="DK52" s="104" t="s">
        <v>84</v>
      </c>
      <c r="DN52" s="272"/>
      <c r="DO52" s="273"/>
      <c r="DP52" s="128" t="s">
        <v>91</v>
      </c>
      <c r="DQ52" s="92">
        <f>SUM(DQ48:DQ51)</f>
        <v>1920</v>
      </c>
      <c r="DR52" s="93">
        <f>SUM(DR48:DR51)</f>
        <v>17954.74104500001</v>
      </c>
      <c r="DS52" s="83">
        <v>0.11019999999999999</v>
      </c>
      <c r="DT52" s="146">
        <f t="shared" si="18"/>
        <v>17.332645177272848</v>
      </c>
      <c r="DU52" s="46">
        <f t="shared" si="19"/>
        <v>97.386447635510279</v>
      </c>
      <c r="ED52"/>
      <c r="EE52"/>
      <c r="EF52"/>
      <c r="EG52"/>
      <c r="EH52"/>
      <c r="EI52"/>
    </row>
    <row r="53" spans="1:139" ht="12.75" customHeight="1" x14ac:dyDescent="0.25">
      <c r="A53" s="192"/>
      <c r="B53" s="192"/>
      <c r="C53" s="192"/>
      <c r="D53" s="192"/>
      <c r="F53" s="202" t="s">
        <v>143</v>
      </c>
      <c r="G53" s="193"/>
      <c r="H53" s="192"/>
      <c r="I53" s="192"/>
      <c r="M53"/>
      <c r="N53"/>
      <c r="O53"/>
      <c r="P53"/>
      <c r="Q53"/>
      <c r="R53"/>
      <c r="S53"/>
      <c r="T53"/>
      <c r="U53"/>
      <c r="V53"/>
      <c r="W53"/>
      <c r="X53"/>
      <c r="Y53" s="352" t="s">
        <v>155</v>
      </c>
      <c r="Z53" s="352"/>
      <c r="AA53" s="352"/>
      <c r="AB53" s="352"/>
      <c r="AC53" s="352"/>
      <c r="AD53" s="352"/>
      <c r="AE53" s="352"/>
      <c r="AF53" s="352"/>
      <c r="AG53" s="352"/>
      <c r="AH53" s="352"/>
      <c r="AI53" s="269" t="s">
        <v>277</v>
      </c>
      <c r="AJ53" s="269"/>
      <c r="AK53" s="269"/>
      <c r="AL53" s="269"/>
      <c r="AM53" s="269"/>
      <c r="AN53" s="269"/>
      <c r="AO53" s="269"/>
      <c r="AP53" s="153" t="s">
        <v>120</v>
      </c>
      <c r="AQ53" s="154"/>
      <c r="AR53" s="154"/>
      <c r="AS53" s="154"/>
      <c r="AT53" s="154"/>
      <c r="AU53" s="154"/>
      <c r="AV53" s="154"/>
      <c r="AW53" s="154"/>
      <c r="AX53" s="154"/>
      <c r="BQ53" s="11" t="s">
        <v>41</v>
      </c>
      <c r="BR53" s="9">
        <v>2</v>
      </c>
      <c r="BS53" s="17">
        <v>24</v>
      </c>
      <c r="BT53" s="55">
        <v>3.7072339642047217E-2</v>
      </c>
      <c r="BU53" s="56">
        <f t="shared" si="17"/>
        <v>7.7940886863440062E-3</v>
      </c>
      <c r="BV53" s="60"/>
      <c r="CA53" s="13" t="s">
        <v>47</v>
      </c>
      <c r="CB53" s="1">
        <v>1</v>
      </c>
      <c r="CC53" s="54">
        <v>100</v>
      </c>
      <c r="CD53" s="36">
        <v>3.707233964204721E-2</v>
      </c>
      <c r="CE53" s="28">
        <v>3.2475369526433359E-2</v>
      </c>
      <c r="CF53" s="66"/>
      <c r="CL53" s="80" t="s">
        <v>52</v>
      </c>
      <c r="CM53" s="81">
        <f>SUM(CM39:CM52)</f>
        <v>871074</v>
      </c>
      <c r="CN53" s="82">
        <f>SUM(CN39:CN52)</f>
        <v>88701.029466999258</v>
      </c>
      <c r="CO53" s="83">
        <f>CP53*1000000/365/24/CN53</f>
        <v>0.30535959118596234</v>
      </c>
      <c r="CP53" s="84">
        <f>SUM(CP39:CP52)</f>
        <v>237.27082043935596</v>
      </c>
      <c r="CQ53" s="46">
        <f t="shared" si="16"/>
        <v>100.00000018517068</v>
      </c>
      <c r="CW53"/>
      <c r="CX53"/>
      <c r="CY53"/>
      <c r="CZ53"/>
      <c r="DA53"/>
      <c r="DB53"/>
      <c r="DC53"/>
      <c r="DF53"/>
      <c r="DG53"/>
      <c r="DH53"/>
      <c r="DI53"/>
      <c r="DJ53" s="110"/>
      <c r="DN53" s="272"/>
      <c r="DO53" s="271" t="s">
        <v>93</v>
      </c>
      <c r="DP53" s="100" t="s">
        <v>81</v>
      </c>
      <c r="DQ53" s="89">
        <f>DQ45+DQ48</f>
        <v>1650</v>
      </c>
      <c r="DR53" s="56">
        <v>16338.885255000012</v>
      </c>
      <c r="DS53" s="36">
        <v>0.11019999999999999</v>
      </c>
      <c r="DT53" s="145">
        <f t="shared" si="18"/>
        <v>15.772775558684771</v>
      </c>
      <c r="DU53" s="73">
        <f t="shared" si="19"/>
        <v>88.622051931613868</v>
      </c>
      <c r="ED53"/>
      <c r="EE53"/>
      <c r="EF53"/>
      <c r="EG53"/>
      <c r="EH53"/>
      <c r="EI53"/>
    </row>
    <row r="54" spans="1:139" ht="12.75" customHeight="1" x14ac:dyDescent="0.25">
      <c r="A54" s="192"/>
      <c r="B54" s="192"/>
      <c r="C54" s="192"/>
      <c r="D54" s="192"/>
      <c r="F54" s="203" t="s">
        <v>144</v>
      </c>
      <c r="G54" s="193"/>
      <c r="H54" s="192"/>
      <c r="I54" s="192"/>
      <c r="M54"/>
      <c r="N54"/>
      <c r="O54"/>
      <c r="P54"/>
      <c r="Q54"/>
      <c r="R54"/>
      <c r="S54"/>
      <c r="T54"/>
      <c r="U54"/>
      <c r="V54"/>
      <c r="W54"/>
      <c r="X54"/>
      <c r="Y54" s="352" t="s">
        <v>4</v>
      </c>
      <c r="Z54" s="352"/>
      <c r="AA54" s="352"/>
      <c r="AB54" s="352"/>
      <c r="AC54" s="352"/>
      <c r="AD54" s="352"/>
      <c r="AE54" s="352"/>
      <c r="AF54" s="352"/>
      <c r="AG54" s="352"/>
      <c r="AH54" s="352"/>
      <c r="AI54" s="270"/>
      <c r="AJ54" s="270"/>
      <c r="AK54" s="270"/>
      <c r="AL54" s="270"/>
      <c r="AM54" s="270"/>
      <c r="AN54" s="270"/>
      <c r="AO54" s="270"/>
      <c r="AP54" s="214" t="s">
        <v>170</v>
      </c>
      <c r="AQ54" s="214"/>
      <c r="AR54" s="214"/>
      <c r="AS54" s="214"/>
      <c r="AT54" s="214"/>
      <c r="AU54" s="214"/>
      <c r="AV54" s="214"/>
      <c r="AW54" s="214"/>
      <c r="AX54" s="214"/>
      <c r="BQ54" s="11" t="s">
        <v>47</v>
      </c>
      <c r="BR54" s="9">
        <v>4</v>
      </c>
      <c r="BS54" s="17">
        <v>10.5</v>
      </c>
      <c r="BT54" s="55">
        <v>3.707233964204721E-2</v>
      </c>
      <c r="BU54" s="129">
        <v>3.4099138002755026E-3</v>
      </c>
      <c r="BV54" s="60"/>
      <c r="CA54" s="13" t="s">
        <v>33</v>
      </c>
      <c r="CB54" s="1">
        <v>10</v>
      </c>
      <c r="CC54" s="54">
        <v>205.75</v>
      </c>
      <c r="CD54" s="36">
        <v>0.36019999999999996</v>
      </c>
      <c r="CE54" s="28">
        <f>CC54*365*24*CD54/1000000</f>
        <v>0.64921367399999985</v>
      </c>
      <c r="CF54" s="66"/>
      <c r="CW54"/>
      <c r="CX54"/>
      <c r="CY54"/>
      <c r="CZ54"/>
      <c r="DA54"/>
      <c r="DB54"/>
      <c r="DC54"/>
      <c r="DE54" s="15" t="s">
        <v>119</v>
      </c>
      <c r="DN54" s="272"/>
      <c r="DO54" s="272"/>
      <c r="DP54" s="104" t="s">
        <v>82</v>
      </c>
      <c r="DQ54" s="89">
        <v>79</v>
      </c>
      <c r="DR54" s="56">
        <v>508.21334999999993</v>
      </c>
      <c r="DS54" s="36">
        <v>0.11019999999999999</v>
      </c>
      <c r="DT54" s="145">
        <f t="shared" si="18"/>
        <v>0.49060477384919993</v>
      </c>
      <c r="DU54" s="114">
        <f t="shared" si="19"/>
        <v>2.7565472915146811</v>
      </c>
      <c r="ED54"/>
      <c r="EE54"/>
      <c r="EF54"/>
      <c r="EG54"/>
      <c r="EH54"/>
      <c r="EI54"/>
    </row>
    <row r="55" spans="1:139" ht="12.75" customHeight="1" x14ac:dyDescent="0.25">
      <c r="A55" s="192"/>
      <c r="B55" s="192"/>
      <c r="C55" s="192"/>
      <c r="D55" s="192"/>
      <c r="F55" s="203" t="s">
        <v>145</v>
      </c>
      <c r="G55" s="193"/>
      <c r="H55" s="192"/>
      <c r="I55" s="192"/>
      <c r="M55"/>
      <c r="N55"/>
      <c r="O55"/>
      <c r="P55"/>
      <c r="Q55"/>
      <c r="R55"/>
      <c r="S55"/>
      <c r="T55"/>
      <c r="U55"/>
      <c r="V55"/>
      <c r="W55"/>
      <c r="X55"/>
      <c r="Y55" s="352" t="s">
        <v>191</v>
      </c>
      <c r="Z55" s="352"/>
      <c r="AA55" s="352"/>
      <c r="AB55" s="352"/>
      <c r="AC55" s="352"/>
      <c r="AD55" s="352"/>
      <c r="AE55" s="352"/>
      <c r="AF55" s="352"/>
      <c r="AG55" s="352"/>
      <c r="AH55" s="352"/>
      <c r="AI55" s="251" t="s">
        <v>275</v>
      </c>
      <c r="AJ55" s="251"/>
      <c r="AK55" s="251"/>
      <c r="AL55" s="251"/>
      <c r="AM55" s="251"/>
      <c r="AN55" s="251"/>
      <c r="AO55" s="251"/>
      <c r="AP55" s="205" t="s">
        <v>153</v>
      </c>
      <c r="AQ55" s="206"/>
      <c r="AR55" s="206"/>
      <c r="AS55" s="206"/>
      <c r="AT55" s="206"/>
      <c r="AU55" s="206"/>
      <c r="AV55" s="206"/>
      <c r="AW55" s="206"/>
      <c r="BQ55" s="31" t="s">
        <v>50</v>
      </c>
      <c r="BR55" s="132">
        <f>SUM(BR41:BR54)</f>
        <v>869454</v>
      </c>
      <c r="BS55" s="132">
        <f>SUM(BS41:BS54)</f>
        <v>25650.066071999263</v>
      </c>
      <c r="BT55" s="44">
        <f>BU55*1000000/365/24/BS55</f>
        <v>0.23458935010434948</v>
      </c>
      <c r="BU55" s="133">
        <f>SUM(BU41:BU54)</f>
        <v>52.710955210484038</v>
      </c>
      <c r="BV55" s="131">
        <f>100*BU55/(BU55+BU40)</f>
        <v>45.777666659142248</v>
      </c>
      <c r="CA55" s="69" t="s">
        <v>30</v>
      </c>
      <c r="CB55" s="1">
        <v>91</v>
      </c>
      <c r="CC55" s="54">
        <v>1253.5503000000003</v>
      </c>
      <c r="CD55" s="36">
        <v>0.26432000000000005</v>
      </c>
      <c r="CE55" s="56">
        <v>2.9025245179929611</v>
      </c>
      <c r="CF55" s="66"/>
      <c r="CL55" s="15" t="s">
        <v>87</v>
      </c>
      <c r="CP55" s="110"/>
      <c r="CW55"/>
      <c r="CX55"/>
      <c r="CY55"/>
      <c r="CZ55"/>
      <c r="DA55"/>
      <c r="DB55"/>
      <c r="DC55"/>
      <c r="DE55" s="15" t="s">
        <v>103</v>
      </c>
      <c r="DN55" s="272"/>
      <c r="DO55" s="272"/>
      <c r="DP55" s="104" t="s">
        <v>83</v>
      </c>
      <c r="DQ55" s="89">
        <f>DQ46+DQ50</f>
        <v>162</v>
      </c>
      <c r="DR55" s="56">
        <v>1222.592440000001</v>
      </c>
      <c r="DS55" s="36">
        <v>0.11019999999999999</v>
      </c>
      <c r="DT55" s="145">
        <f t="shared" si="18"/>
        <v>1.1802320571388809</v>
      </c>
      <c r="DU55" s="114">
        <f t="shared" si="19"/>
        <v>6.6313367783595778</v>
      </c>
      <c r="ED55"/>
      <c r="EE55"/>
      <c r="EF55"/>
      <c r="EG55"/>
      <c r="EH55"/>
      <c r="EI55"/>
    </row>
    <row r="56" spans="1:139" ht="12.75" customHeight="1" x14ac:dyDescent="0.25">
      <c r="A56" s="192"/>
      <c r="B56" s="192"/>
      <c r="C56" s="192"/>
      <c r="D56" s="192"/>
      <c r="F56" s="204" t="s">
        <v>146</v>
      </c>
      <c r="G56" s="193"/>
      <c r="H56" s="192"/>
      <c r="I56" s="192"/>
      <c r="M56"/>
      <c r="N56"/>
      <c r="O56"/>
      <c r="P56"/>
      <c r="Q56"/>
      <c r="R56"/>
      <c r="S56"/>
      <c r="T56"/>
      <c r="U56"/>
      <c r="V56"/>
      <c r="W56"/>
      <c r="X56"/>
      <c r="Y56" s="352" t="s">
        <v>192</v>
      </c>
      <c r="Z56" s="352"/>
      <c r="AA56" s="352"/>
      <c r="AB56" s="352"/>
      <c r="AC56" s="352"/>
      <c r="AD56" s="352"/>
      <c r="AE56" s="352"/>
      <c r="AF56" s="352"/>
      <c r="AG56" s="352"/>
      <c r="AH56" s="352"/>
      <c r="AI56" s="251" t="s">
        <v>276</v>
      </c>
      <c r="AJ56" s="251"/>
      <c r="AK56" s="251"/>
      <c r="AL56" s="251"/>
      <c r="AM56" s="251"/>
      <c r="AN56" s="251"/>
      <c r="AO56" s="251"/>
      <c r="AX56" s="162"/>
      <c r="AY56" s="214"/>
      <c r="BQ56" s="32" t="s">
        <v>118</v>
      </c>
      <c r="BR56" s="147">
        <f>BR40+BR55</f>
        <v>869545</v>
      </c>
      <c r="BS56" s="148">
        <f>BS40+BS55</f>
        <v>43238.066071999259</v>
      </c>
      <c r="BT56" s="149">
        <f>BU56*1000000/365/24/BS56</f>
        <v>0.30400229834692405</v>
      </c>
      <c r="BU56" s="150">
        <f>BU40+BU55</f>
        <v>115.14557000680405</v>
      </c>
      <c r="BV56" s="151">
        <f>BV40+BV55</f>
        <v>100</v>
      </c>
      <c r="CA56" s="31" t="s">
        <v>42</v>
      </c>
      <c r="CB56" s="40">
        <f>SUM(CB46:CB55)</f>
        <v>362</v>
      </c>
      <c r="CC56" s="177">
        <f>SUM(CC46:CC55)</f>
        <v>6547.3789149999993</v>
      </c>
      <c r="CD56" s="44">
        <f>CE56*1000000/365/24/CC56</f>
        <v>0.15086861148978425</v>
      </c>
      <c r="CE56" s="186">
        <f>SUM(CE46:CE55)</f>
        <v>8.6530751404390109</v>
      </c>
      <c r="CF56" s="46">
        <f>100*CE56/(CE45+CE56)</f>
        <v>30.885709686548431</v>
      </c>
      <c r="CL56" s="15" t="s">
        <v>139</v>
      </c>
      <c r="CW56"/>
      <c r="CX56"/>
      <c r="CY56"/>
      <c r="CZ56"/>
      <c r="DA56"/>
      <c r="DB56"/>
      <c r="DC56"/>
      <c r="DE56" s="15" t="s">
        <v>104</v>
      </c>
      <c r="DN56" s="272"/>
      <c r="DO56" s="272"/>
      <c r="DP56" s="104" t="s">
        <v>95</v>
      </c>
      <c r="DQ56" s="89">
        <v>32</v>
      </c>
      <c r="DR56" s="56">
        <v>366.84999999999997</v>
      </c>
      <c r="DS56" s="36">
        <v>0.11019999999999999</v>
      </c>
      <c r="DT56" s="145">
        <f t="shared" si="18"/>
        <v>0.35413938119999999</v>
      </c>
      <c r="DU56" s="114">
        <f t="shared" si="19"/>
        <v>1.989793014867006</v>
      </c>
      <c r="ED56"/>
      <c r="EE56"/>
      <c r="EF56"/>
      <c r="EG56"/>
      <c r="EH56"/>
      <c r="EI56"/>
    </row>
    <row r="57" spans="1:139" ht="12.75" customHeight="1" x14ac:dyDescent="0.25">
      <c r="A57" s="192"/>
      <c r="B57" s="192"/>
      <c r="C57" s="192"/>
      <c r="D57" s="192"/>
      <c r="F57" s="193" t="s">
        <v>147</v>
      </c>
      <c r="G57" s="193"/>
      <c r="H57" s="192"/>
      <c r="I57" s="192"/>
      <c r="M57"/>
      <c r="N57"/>
      <c r="O57"/>
      <c r="P57"/>
      <c r="Q57"/>
      <c r="R57"/>
      <c r="S57"/>
      <c r="T57"/>
      <c r="U57"/>
      <c r="V57"/>
      <c r="W57"/>
      <c r="X57"/>
      <c r="Y57" s="351" t="s">
        <v>193</v>
      </c>
      <c r="Z57" s="351"/>
      <c r="AA57" s="351"/>
      <c r="AB57" s="351"/>
      <c r="AC57" s="351"/>
      <c r="AD57" s="351"/>
      <c r="AE57" s="351"/>
      <c r="AF57" s="351"/>
      <c r="AG57" s="351"/>
      <c r="AH57" s="351"/>
      <c r="AI57" s="242" t="s">
        <v>281</v>
      </c>
      <c r="AJ57" s="242"/>
      <c r="AK57" s="242"/>
      <c r="AL57" s="242"/>
      <c r="AM57" s="242"/>
      <c r="AN57" s="242"/>
      <c r="AO57" s="242"/>
      <c r="AP57" s="270"/>
      <c r="AQ57" s="270"/>
      <c r="AR57" s="270"/>
      <c r="AS57" s="270"/>
      <c r="AT57" s="270"/>
      <c r="AU57" s="270"/>
      <c r="AV57" s="270"/>
      <c r="AW57" s="270"/>
      <c r="AX57" s="270"/>
      <c r="CA57" s="32" t="s">
        <v>118</v>
      </c>
      <c r="CB57" s="43">
        <f>CB45+CB56</f>
        <v>400</v>
      </c>
      <c r="CC57" s="134">
        <f>CC45+CC56</f>
        <v>13680.978915</v>
      </c>
      <c r="CD57" s="37">
        <f>CE57*1000000/365/24/CC57</f>
        <v>0.23377152520419925</v>
      </c>
      <c r="CE57" s="183">
        <f>CE45+CE56</f>
        <v>28.016436171475316</v>
      </c>
      <c r="CF57" s="46">
        <f>CF45+CF56</f>
        <v>100</v>
      </c>
      <c r="CL57" s="15" t="s">
        <v>106</v>
      </c>
      <c r="CW57"/>
      <c r="CX57"/>
      <c r="CY57"/>
      <c r="CZ57"/>
      <c r="DA57"/>
      <c r="DB57"/>
      <c r="DC57"/>
      <c r="DE57" s="15" t="s">
        <v>105</v>
      </c>
      <c r="DN57" s="273"/>
      <c r="DO57" s="273"/>
      <c r="DP57" s="116" t="s">
        <v>91</v>
      </c>
      <c r="DQ57" s="92">
        <f>SUM(DQ53:DQ56)</f>
        <v>1923</v>
      </c>
      <c r="DR57" s="152">
        <f>SUM(DR53:DR56)</f>
        <v>18436.541045000009</v>
      </c>
      <c r="DS57" s="83">
        <v>0.11019999999999999</v>
      </c>
      <c r="DT57" s="146">
        <f t="shared" si="18"/>
        <v>17.797751770872846</v>
      </c>
      <c r="DU57" s="85">
        <f t="shared" ref="DU57" si="21">100*DT57/17.7978</f>
        <v>99.999729016355104</v>
      </c>
      <c r="ED57"/>
      <c r="EE57"/>
      <c r="EF57"/>
      <c r="EG57"/>
      <c r="EH57"/>
      <c r="EI57"/>
    </row>
    <row r="58" spans="1:139" ht="12.75" customHeight="1" x14ac:dyDescent="0.25">
      <c r="A58" s="192"/>
      <c r="B58" s="192"/>
      <c r="C58" s="192"/>
      <c r="D58" s="192"/>
      <c r="F58" s="193" t="s">
        <v>148</v>
      </c>
      <c r="G58" s="193"/>
      <c r="H58" s="192"/>
      <c r="I58" s="192"/>
      <c r="M58"/>
      <c r="N58"/>
      <c r="O58"/>
      <c r="P58"/>
      <c r="Q58"/>
      <c r="R58"/>
      <c r="S58"/>
      <c r="T58"/>
      <c r="U58"/>
      <c r="V58"/>
      <c r="W58"/>
      <c r="X58"/>
      <c r="Y58" s="351"/>
      <c r="Z58" s="351"/>
      <c r="AA58" s="351"/>
      <c r="AB58" s="351"/>
      <c r="AC58" s="351"/>
      <c r="AD58" s="351"/>
      <c r="AE58" s="351"/>
      <c r="AF58" s="351"/>
      <c r="AG58" s="351"/>
      <c r="AH58" s="351"/>
      <c r="AI58" s="251" t="s">
        <v>280</v>
      </c>
      <c r="AJ58" s="251"/>
      <c r="AK58" s="251"/>
      <c r="AL58" s="251"/>
      <c r="AM58" s="251"/>
      <c r="AN58" s="251"/>
      <c r="AO58" s="251"/>
      <c r="AP58"/>
      <c r="AQ58"/>
      <c r="AR58"/>
      <c r="AS58"/>
      <c r="AT58"/>
      <c r="AU58"/>
      <c r="AV58"/>
      <c r="AW58"/>
      <c r="AX58"/>
      <c r="AY58"/>
      <c r="AZ58"/>
      <c r="BA58"/>
      <c r="BS58"/>
      <c r="CL58" s="137" t="s">
        <v>107</v>
      </c>
      <c r="CM58" s="137"/>
      <c r="CN58" s="137"/>
      <c r="CO58" s="137"/>
      <c r="CP58" s="137"/>
      <c r="CQ58" s="137"/>
      <c r="CR58" s="137"/>
      <c r="CS58" s="137"/>
      <c r="CU58" s="137"/>
      <c r="CW58"/>
      <c r="CX58"/>
      <c r="CY58"/>
      <c r="CZ58"/>
      <c r="DA58"/>
      <c r="DB58"/>
      <c r="DC58"/>
      <c r="DE58" s="15" t="s">
        <v>109</v>
      </c>
      <c r="DP58" s="136"/>
      <c r="DS58" s="15"/>
      <c r="ED58"/>
      <c r="EE58"/>
      <c r="EF58"/>
      <c r="EG58"/>
      <c r="EH58"/>
      <c r="EI58"/>
    </row>
    <row r="59" spans="1:139" ht="12.75" customHeight="1" x14ac:dyDescent="0.3">
      <c r="A59"/>
      <c r="B59"/>
      <c r="C59"/>
      <c r="M59"/>
      <c r="N59"/>
      <c r="O59"/>
      <c r="P59"/>
      <c r="Q59"/>
      <c r="R59"/>
      <c r="S59"/>
      <c r="T59"/>
      <c r="U59"/>
      <c r="V59"/>
      <c r="W59"/>
      <c r="X59"/>
      <c r="AI59" s="253"/>
      <c r="AJ59" s="253"/>
      <c r="AK59" s="253"/>
      <c r="AL59" s="253"/>
      <c r="AM59" s="253"/>
      <c r="AN59" s="253"/>
      <c r="AO59" s="242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H59" s="216"/>
      <c r="BI59"/>
      <c r="BJ59"/>
      <c r="BK59"/>
      <c r="BL59"/>
      <c r="BM59"/>
      <c r="BQ59" s="216"/>
      <c r="BZ59"/>
      <c r="CA59" s="163"/>
      <c r="CB59"/>
      <c r="CC59"/>
      <c r="CD59"/>
      <c r="CE59"/>
      <c r="CF59"/>
      <c r="CG59"/>
      <c r="CH59"/>
      <c r="CL59"/>
      <c r="CU59" s="162"/>
      <c r="CV59" s="216"/>
      <c r="DE59" s="15" t="s">
        <v>108</v>
      </c>
      <c r="DM59"/>
      <c r="DN59" s="216"/>
      <c r="DP59" s="136"/>
      <c r="DS59" s="15"/>
      <c r="ED59"/>
      <c r="EE59"/>
      <c r="EF59"/>
      <c r="EG59"/>
      <c r="EH59"/>
      <c r="EI59" s="161"/>
    </row>
    <row r="60" spans="1:139" ht="12.75" customHeight="1" x14ac:dyDescent="0.25">
      <c r="A60"/>
      <c r="B60"/>
      <c r="C60"/>
      <c r="M60"/>
      <c r="N60"/>
      <c r="O60"/>
      <c r="P60"/>
      <c r="Q60"/>
      <c r="R60"/>
      <c r="S60"/>
      <c r="T60"/>
      <c r="U60"/>
      <c r="V60"/>
      <c r="W60"/>
      <c r="X60">
        <v>1</v>
      </c>
      <c r="Y60" s="163">
        <v>2</v>
      </c>
      <c r="AI60"/>
      <c r="AJ60"/>
      <c r="AK60"/>
      <c r="AL60"/>
      <c r="AM60"/>
      <c r="AN60"/>
      <c r="AO60">
        <v>3</v>
      </c>
      <c r="AP60" s="163">
        <v>4</v>
      </c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G60" s="15">
        <v>5</v>
      </c>
      <c r="BH60" s="216">
        <v>6</v>
      </c>
      <c r="BI60"/>
      <c r="BJ60"/>
      <c r="BK60"/>
      <c r="BL60"/>
      <c r="BM60"/>
      <c r="BP60"/>
      <c r="BQ60"/>
      <c r="BR60"/>
      <c r="BS60" s="250"/>
      <c r="BT60"/>
      <c r="BU60"/>
      <c r="BV60"/>
      <c r="BZ60">
        <v>7</v>
      </c>
      <c r="CA60" s="163">
        <v>8</v>
      </c>
      <c r="CC60"/>
      <c r="CD60"/>
      <c r="CE60"/>
      <c r="CF60"/>
      <c r="CG60"/>
      <c r="CH60"/>
      <c r="CK60" s="216"/>
      <c r="CU60" s="136">
        <v>9</v>
      </c>
      <c r="CV60" s="216">
        <v>10</v>
      </c>
      <c r="DD60" s="162"/>
      <c r="DE60"/>
      <c r="DF60"/>
      <c r="DG60"/>
      <c r="DH60"/>
      <c r="DI60"/>
      <c r="DJ60"/>
      <c r="DK60"/>
      <c r="DL60"/>
      <c r="DM60">
        <v>11</v>
      </c>
      <c r="DN60" s="216">
        <v>12</v>
      </c>
      <c r="DP60" s="136"/>
      <c r="DS60" s="15"/>
      <c r="ED60"/>
      <c r="EE60"/>
      <c r="EF60"/>
      <c r="EG60"/>
      <c r="EH60"/>
      <c r="EI60" s="161">
        <v>13</v>
      </c>
    </row>
    <row r="61" spans="1:139" customFormat="1" ht="12.75" customHeight="1" x14ac:dyDescent="0.25">
      <c r="X61" s="163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BG61" s="15"/>
      <c r="CU61" s="15"/>
      <c r="DD61" s="15"/>
      <c r="DM61" s="15"/>
      <c r="DX61" s="15"/>
      <c r="EI61" s="15"/>
    </row>
    <row r="62" spans="1:139" customFormat="1" ht="12.75" customHeight="1" x14ac:dyDescent="0.25">
      <c r="W62" s="15"/>
      <c r="X62" s="163"/>
      <c r="Y62" s="163"/>
      <c r="AH62" s="15"/>
      <c r="AP62" s="15"/>
      <c r="AQ62" s="15"/>
      <c r="AR62" s="15"/>
      <c r="AS62" s="15"/>
      <c r="AT62" s="15"/>
      <c r="AU62" s="15"/>
    </row>
    <row r="63" spans="1:139" customFormat="1" ht="12.75" customHeight="1" x14ac:dyDescent="0.25">
      <c r="Y63" s="15"/>
    </row>
    <row r="64" spans="1:139" customFormat="1" ht="12.75" customHeight="1" x14ac:dyDescent="0.25"/>
    <row r="65" spans="57:61" customFormat="1" ht="12.75" customHeight="1" x14ac:dyDescent="0.25">
      <c r="BE65" s="252"/>
      <c r="BI65" s="164"/>
    </row>
    <row r="66" spans="57:61" customFormat="1" ht="12.75" customHeight="1" x14ac:dyDescent="0.25">
      <c r="BE66" s="252"/>
      <c r="BI66" s="164"/>
    </row>
    <row r="67" spans="57:61" customFormat="1" ht="12.75" customHeight="1" x14ac:dyDescent="0.25">
      <c r="BE67" s="252"/>
      <c r="BI67" s="164"/>
    </row>
    <row r="68" spans="57:61" customFormat="1" ht="12.75" customHeight="1" x14ac:dyDescent="0.25"/>
    <row r="69" spans="57:61" customFormat="1" ht="12.75" customHeight="1" x14ac:dyDescent="0.25"/>
    <row r="70" spans="57:61" customFormat="1" ht="12.75" customHeight="1" x14ac:dyDescent="0.25"/>
    <row r="71" spans="57:61" customFormat="1" ht="12.75" customHeight="1" x14ac:dyDescent="0.25"/>
    <row r="72" spans="57:61" customFormat="1" ht="12.75" customHeight="1" x14ac:dyDescent="0.25"/>
    <row r="73" spans="57:61" customFormat="1" ht="12.75" customHeight="1" x14ac:dyDescent="0.25"/>
    <row r="74" spans="57:61" customFormat="1" ht="12.75" customHeight="1" x14ac:dyDescent="0.25"/>
    <row r="75" spans="57:61" customFormat="1" ht="12.75" customHeight="1" x14ac:dyDescent="0.25"/>
    <row r="76" spans="57:61" customFormat="1" ht="12.75" customHeight="1" x14ac:dyDescent="0.25"/>
    <row r="77" spans="57:61" customFormat="1" ht="12.75" customHeight="1" x14ac:dyDescent="0.25"/>
    <row r="78" spans="57:61" customFormat="1" ht="12.75" customHeight="1" x14ac:dyDescent="0.25"/>
    <row r="79" spans="57:61" customFormat="1" ht="12.75" customHeight="1" x14ac:dyDescent="0.25"/>
    <row r="80" spans="57:61" customFormat="1" ht="12.75" customHeight="1" x14ac:dyDescent="0.25"/>
    <row r="81" customFormat="1" ht="12.75" customHeight="1" x14ac:dyDescent="0.25"/>
    <row r="82" customFormat="1" ht="12.75" customHeight="1" x14ac:dyDescent="0.25"/>
    <row r="83" customFormat="1" ht="12.75" customHeight="1" x14ac:dyDescent="0.25"/>
    <row r="84" customFormat="1" ht="12.75" customHeight="1" x14ac:dyDescent="0.25"/>
    <row r="85" customFormat="1" ht="12.75" customHeight="1" x14ac:dyDescent="0.25"/>
    <row r="86" customFormat="1" ht="12.75" customHeight="1" x14ac:dyDescent="0.25"/>
    <row r="87" customFormat="1" ht="12.75" customHeight="1" x14ac:dyDescent="0.25"/>
    <row r="88" customFormat="1" ht="12.75" customHeight="1" x14ac:dyDescent="0.25"/>
    <row r="89" customFormat="1" ht="12.75" customHeight="1" x14ac:dyDescent="0.25"/>
    <row r="90" customFormat="1" ht="12.75" customHeight="1" x14ac:dyDescent="0.25"/>
    <row r="91" customFormat="1" ht="12.75" customHeight="1" x14ac:dyDescent="0.25"/>
    <row r="92" customFormat="1" ht="12.75" customHeight="1" x14ac:dyDescent="0.25"/>
    <row r="93" customFormat="1" ht="12.75" customHeight="1" x14ac:dyDescent="0.25"/>
    <row r="94" customFormat="1" ht="12.75" customHeight="1" x14ac:dyDescent="0.25"/>
    <row r="95" customFormat="1" ht="12.75" customHeight="1" x14ac:dyDescent="0.25"/>
    <row r="96" customFormat="1" ht="12.75" customHeight="1" x14ac:dyDescent="0.25"/>
    <row r="97" customFormat="1" ht="12.75" customHeight="1" x14ac:dyDescent="0.25"/>
    <row r="98" customFormat="1" ht="12.75" customHeight="1" x14ac:dyDescent="0.25"/>
    <row r="99" customFormat="1" ht="12.75" customHeight="1" x14ac:dyDescent="0.25"/>
    <row r="100" customFormat="1" ht="12.75" customHeight="1" x14ac:dyDescent="0.25"/>
    <row r="101" customFormat="1" ht="12.75" customHeight="1" x14ac:dyDescent="0.25"/>
    <row r="102" customFormat="1" ht="12.75" customHeight="1" x14ac:dyDescent="0.25"/>
    <row r="103" customFormat="1" ht="12.75" customHeight="1" x14ac:dyDescent="0.25"/>
    <row r="104" customFormat="1" ht="12.75" customHeight="1" x14ac:dyDescent="0.25"/>
    <row r="105" customFormat="1" ht="12.75" customHeight="1" x14ac:dyDescent="0.25"/>
    <row r="106" customFormat="1" ht="12.75" customHeight="1" x14ac:dyDescent="0.25"/>
    <row r="107" customFormat="1" ht="12.75" customHeight="1" x14ac:dyDescent="0.25"/>
    <row r="108" customFormat="1" ht="12.75" customHeight="1" x14ac:dyDescent="0.25"/>
    <row r="109" customFormat="1" ht="12.75" customHeight="1" x14ac:dyDescent="0.25"/>
    <row r="110" customFormat="1" ht="12.75" customHeight="1" x14ac:dyDescent="0.25"/>
    <row r="111" customFormat="1" ht="12.75" customHeight="1" x14ac:dyDescent="0.25"/>
    <row r="112" customFormat="1" ht="12.75" customHeight="1" x14ac:dyDescent="0.25"/>
    <row r="113" customFormat="1" ht="12.75" customHeight="1" x14ac:dyDescent="0.25"/>
    <row r="114" customFormat="1" ht="12.75" customHeight="1" x14ac:dyDescent="0.25"/>
    <row r="115" customFormat="1" ht="12.75" customHeight="1" x14ac:dyDescent="0.25"/>
    <row r="116" customFormat="1" ht="12.75" customHeight="1" x14ac:dyDescent="0.25"/>
    <row r="117" customFormat="1" ht="12.75" customHeight="1" x14ac:dyDescent="0.25"/>
    <row r="118" customFormat="1" ht="12.75" customHeight="1" x14ac:dyDescent="0.25"/>
    <row r="119" customFormat="1" ht="12.75" customHeight="1" x14ac:dyDescent="0.25"/>
    <row r="120" customFormat="1" ht="12.75" customHeight="1" x14ac:dyDescent="0.25"/>
    <row r="121" customFormat="1" ht="12.75" customHeight="1" x14ac:dyDescent="0.25"/>
    <row r="122" customFormat="1" ht="12.75" customHeight="1" x14ac:dyDescent="0.25"/>
    <row r="123" customFormat="1" ht="12.75" customHeight="1" x14ac:dyDescent="0.25"/>
    <row r="124" customFormat="1" ht="12.75" customHeight="1" x14ac:dyDescent="0.25"/>
    <row r="125" customFormat="1" ht="12.75" customHeight="1" x14ac:dyDescent="0.25"/>
    <row r="126" customFormat="1" ht="12.75" customHeight="1" x14ac:dyDescent="0.25"/>
    <row r="127" customFormat="1" ht="12.75" customHeight="1" x14ac:dyDescent="0.25"/>
    <row r="128" customFormat="1" ht="12.75" customHeight="1" x14ac:dyDescent="0.25"/>
    <row r="129" customFormat="1" ht="12.75" customHeight="1" x14ac:dyDescent="0.25"/>
    <row r="130" customFormat="1" ht="12.75" customHeight="1" x14ac:dyDescent="0.25"/>
    <row r="131" customFormat="1" ht="12.75" customHeight="1" x14ac:dyDescent="0.25"/>
    <row r="132" customFormat="1" ht="12.75" customHeight="1" x14ac:dyDescent="0.25"/>
    <row r="133" customFormat="1" ht="12.75" customHeight="1" x14ac:dyDescent="0.25"/>
    <row r="134" customFormat="1" ht="12.75" customHeight="1" x14ac:dyDescent="0.25"/>
    <row r="135" customFormat="1" ht="12.75" customHeight="1" x14ac:dyDescent="0.25"/>
    <row r="136" customFormat="1" ht="12.75" customHeight="1" x14ac:dyDescent="0.25"/>
    <row r="137" customFormat="1" ht="12.75" customHeight="1" x14ac:dyDescent="0.25"/>
    <row r="138" customFormat="1" ht="12.75" customHeight="1" x14ac:dyDescent="0.25"/>
    <row r="139" customFormat="1" ht="12.75" customHeight="1" x14ac:dyDescent="0.25"/>
    <row r="140" customFormat="1" ht="12.75" customHeight="1" x14ac:dyDescent="0.25"/>
    <row r="141" customFormat="1" ht="12.75" customHeight="1" x14ac:dyDescent="0.25"/>
    <row r="142" customFormat="1" ht="12.75" customHeight="1" x14ac:dyDescent="0.25"/>
    <row r="143" customFormat="1" ht="12.75" customHeight="1" x14ac:dyDescent="0.25"/>
    <row r="144" customFormat="1" ht="12.75" customHeight="1" x14ac:dyDescent="0.25"/>
    <row r="145" customFormat="1" ht="12.75" customHeight="1" x14ac:dyDescent="0.25"/>
    <row r="146" customFormat="1" ht="12.75" customHeight="1" x14ac:dyDescent="0.25"/>
    <row r="147" customFormat="1" ht="12.75" customHeight="1" x14ac:dyDescent="0.25"/>
    <row r="148" customFormat="1" ht="12.75" customHeight="1" x14ac:dyDescent="0.25"/>
    <row r="149" customFormat="1" ht="12.75" customHeight="1" x14ac:dyDescent="0.25"/>
    <row r="150" customFormat="1" ht="12.75" customHeight="1" x14ac:dyDescent="0.25"/>
    <row r="151" customFormat="1" ht="12.75" customHeight="1" x14ac:dyDescent="0.25"/>
    <row r="152" customFormat="1" ht="12.75" customHeight="1" x14ac:dyDescent="0.25"/>
    <row r="153" customFormat="1" ht="12.75" customHeight="1" x14ac:dyDescent="0.25"/>
    <row r="154" customFormat="1" ht="12.75" customHeight="1" x14ac:dyDescent="0.25"/>
    <row r="155" customFormat="1" ht="12.75" customHeight="1" x14ac:dyDescent="0.25"/>
    <row r="156" customFormat="1" ht="12.75" customHeight="1" x14ac:dyDescent="0.25"/>
    <row r="157" customFormat="1" ht="12.75" customHeight="1" x14ac:dyDescent="0.25"/>
    <row r="158" customFormat="1" ht="12.75" customHeight="1" x14ac:dyDescent="0.25"/>
    <row r="159" customFormat="1" ht="12.75" customHeight="1" x14ac:dyDescent="0.25"/>
    <row r="160" customFormat="1" ht="12.75" customHeight="1" x14ac:dyDescent="0.25"/>
    <row r="161" customFormat="1" ht="12.75" customHeight="1" x14ac:dyDescent="0.25"/>
    <row r="162" customFormat="1" ht="12.75" customHeight="1" x14ac:dyDescent="0.25"/>
    <row r="163" customFormat="1" ht="12.75" customHeight="1" x14ac:dyDescent="0.25"/>
    <row r="164" customFormat="1" ht="12.75" customHeight="1" x14ac:dyDescent="0.25"/>
    <row r="165" customFormat="1" ht="12.75" customHeight="1" x14ac:dyDescent="0.25"/>
    <row r="166" customFormat="1" ht="12.75" customHeight="1" x14ac:dyDescent="0.25"/>
    <row r="167" customFormat="1" ht="12.75" customHeight="1" x14ac:dyDescent="0.25"/>
    <row r="168" customFormat="1" ht="12.75" customHeight="1" x14ac:dyDescent="0.25"/>
    <row r="169" customFormat="1" ht="12.75" customHeight="1" x14ac:dyDescent="0.25"/>
    <row r="170" customFormat="1" ht="12.75" customHeight="1" x14ac:dyDescent="0.25"/>
    <row r="171" customFormat="1" ht="12.75" customHeight="1" x14ac:dyDescent="0.25"/>
    <row r="172" customFormat="1" ht="12.75" customHeight="1" x14ac:dyDescent="0.25"/>
    <row r="173" customFormat="1" ht="12.75" customHeight="1" x14ac:dyDescent="0.25"/>
    <row r="174" customFormat="1" ht="12.75" customHeight="1" x14ac:dyDescent="0.25"/>
    <row r="175" customFormat="1" ht="12.75" customHeight="1" x14ac:dyDescent="0.25"/>
    <row r="176" customFormat="1" ht="12.75" customHeight="1" x14ac:dyDescent="0.25"/>
    <row r="177" customFormat="1" ht="12.75" customHeight="1" x14ac:dyDescent="0.25"/>
    <row r="178" customFormat="1" ht="12.75" customHeight="1" x14ac:dyDescent="0.25"/>
    <row r="179" customFormat="1" ht="12.75" customHeight="1" x14ac:dyDescent="0.25"/>
    <row r="180" customFormat="1" ht="12.75" customHeight="1" x14ac:dyDescent="0.25"/>
    <row r="181" customFormat="1" ht="12.75" customHeight="1" x14ac:dyDescent="0.25"/>
    <row r="182" customFormat="1" ht="12.75" customHeight="1" x14ac:dyDescent="0.25"/>
    <row r="183" customFormat="1" ht="12.75" customHeight="1" x14ac:dyDescent="0.25"/>
    <row r="184" customFormat="1" ht="12.75" customHeight="1" x14ac:dyDescent="0.25"/>
    <row r="185" customFormat="1" ht="12.75" customHeight="1" x14ac:dyDescent="0.25"/>
    <row r="186" customFormat="1" ht="12.75" customHeight="1" x14ac:dyDescent="0.25"/>
    <row r="187" customFormat="1" ht="12.75" customHeight="1" x14ac:dyDescent="0.25"/>
    <row r="188" customFormat="1" ht="12.75" customHeight="1" x14ac:dyDescent="0.25"/>
    <row r="189" customFormat="1" ht="12.75" customHeight="1" x14ac:dyDescent="0.25"/>
    <row r="190" customFormat="1" ht="12.75" customHeight="1" x14ac:dyDescent="0.25"/>
    <row r="191" customFormat="1" ht="12.75" customHeight="1" x14ac:dyDescent="0.25"/>
    <row r="192" customFormat="1" ht="12.75" customHeight="1" x14ac:dyDescent="0.25"/>
    <row r="193" customFormat="1" ht="12.75" customHeight="1" x14ac:dyDescent="0.25"/>
    <row r="194" customFormat="1" ht="12.75" customHeight="1" x14ac:dyDescent="0.25"/>
    <row r="195" customFormat="1" ht="12.75" customHeight="1" x14ac:dyDescent="0.25"/>
    <row r="196" customFormat="1" ht="12.75" customHeight="1" x14ac:dyDescent="0.25"/>
    <row r="197" customFormat="1" ht="12.75" customHeight="1" x14ac:dyDescent="0.25"/>
    <row r="198" customFormat="1" ht="12.75" customHeight="1" x14ac:dyDescent="0.25"/>
    <row r="199" customFormat="1" ht="12.75" customHeight="1" x14ac:dyDescent="0.25"/>
    <row r="200" customFormat="1" ht="12.75" customHeight="1" x14ac:dyDescent="0.25"/>
    <row r="201" customFormat="1" ht="12.75" customHeight="1" x14ac:dyDescent="0.25"/>
    <row r="202" customFormat="1" ht="12.75" customHeight="1" x14ac:dyDescent="0.25"/>
    <row r="203" customFormat="1" ht="12.75" customHeight="1" x14ac:dyDescent="0.25"/>
    <row r="204" customFormat="1" ht="12.75" customHeight="1" x14ac:dyDescent="0.25"/>
    <row r="205" customFormat="1" ht="12.75" customHeight="1" x14ac:dyDescent="0.25"/>
    <row r="206" customFormat="1" ht="12.75" customHeight="1" x14ac:dyDescent="0.25"/>
    <row r="207" customFormat="1" ht="12.75" customHeight="1" x14ac:dyDescent="0.25"/>
    <row r="208" customFormat="1" ht="12.75" customHeight="1" x14ac:dyDescent="0.25"/>
    <row r="209" spans="35:50" customFormat="1" ht="12.75" customHeight="1" x14ac:dyDescent="0.25"/>
    <row r="210" spans="35:50" customFormat="1" ht="12.75" customHeight="1" x14ac:dyDescent="0.25"/>
    <row r="211" spans="35:50" customFormat="1" ht="12.75" customHeight="1" x14ac:dyDescent="0.25"/>
    <row r="212" spans="35:50" customFormat="1" ht="12.75" customHeight="1" x14ac:dyDescent="0.25"/>
    <row r="213" spans="35:50" customFormat="1" ht="12.75" customHeight="1" x14ac:dyDescent="0.25"/>
    <row r="214" spans="35:50" customFormat="1" ht="12.75" customHeight="1" x14ac:dyDescent="0.25"/>
    <row r="215" spans="35:50" customFormat="1" ht="12.75" customHeight="1" x14ac:dyDescent="0.25"/>
    <row r="216" spans="35:50" customFormat="1" ht="12.75" customHeight="1" x14ac:dyDescent="0.25"/>
    <row r="217" spans="35:50" customFormat="1" ht="12.75" customHeight="1" x14ac:dyDescent="0.25"/>
    <row r="218" spans="35:50" customFormat="1" ht="12.75" customHeight="1" x14ac:dyDescent="0.25"/>
    <row r="219" spans="35:50" customFormat="1" ht="12.75" customHeight="1" x14ac:dyDescent="0.25"/>
    <row r="220" spans="35:50" customFormat="1" ht="12.75" customHeight="1" x14ac:dyDescent="0.25"/>
    <row r="221" spans="35:50" customFormat="1" ht="12.75" customHeight="1" x14ac:dyDescent="0.25"/>
    <row r="222" spans="35:50" customFormat="1" ht="12.75" customHeight="1" x14ac:dyDescent="0.25">
      <c r="AI222" s="15"/>
      <c r="AJ222" s="15"/>
      <c r="AK222" s="15"/>
      <c r="AL222" s="15"/>
      <c r="AM222" s="15"/>
      <c r="AN222" s="15"/>
      <c r="AO222" s="15"/>
    </row>
    <row r="223" spans="35:50" customFormat="1" ht="12.75" customHeight="1" x14ac:dyDescent="0.25">
      <c r="AI223" s="15"/>
      <c r="AJ223" s="15"/>
      <c r="AK223" s="15"/>
      <c r="AL223" s="15"/>
      <c r="AM223" s="15"/>
      <c r="AN223" s="15"/>
      <c r="AO223" s="15"/>
    </row>
    <row r="224" spans="35:50" customFormat="1" ht="12.75" customHeight="1" x14ac:dyDescent="0.25"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</row>
    <row r="225" spans="13:117" customFormat="1" ht="12.75" customHeight="1" x14ac:dyDescent="0.25"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</row>
    <row r="226" spans="13:117" customFormat="1" ht="12.75" customHeight="1" x14ac:dyDescent="0.25"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H226" s="15"/>
      <c r="BI226" s="15"/>
      <c r="BJ226" s="15"/>
      <c r="BK226" s="15"/>
      <c r="BL226" s="15"/>
      <c r="BM226" s="15"/>
      <c r="BZ226" s="15"/>
    </row>
    <row r="227" spans="13:117" customFormat="1" ht="12.75" customHeight="1" x14ac:dyDescent="0.25"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H227" s="15"/>
      <c r="BI227" s="15"/>
      <c r="BJ227" s="15"/>
      <c r="BK227" s="15"/>
      <c r="BL227" s="15"/>
      <c r="BM227" s="15"/>
      <c r="BP227" s="15"/>
      <c r="BQ227" s="15"/>
      <c r="BR227" s="15"/>
      <c r="BS227" s="15"/>
      <c r="BT227" s="15"/>
      <c r="BU227" s="15"/>
      <c r="BV227" s="15"/>
      <c r="BZ227" s="15"/>
      <c r="DE227" s="15"/>
      <c r="DF227" s="15"/>
      <c r="DG227" s="15"/>
      <c r="DH227" s="15"/>
      <c r="DI227" s="15"/>
      <c r="DJ227" s="15"/>
      <c r="DK227" s="15"/>
      <c r="DL227" s="15"/>
      <c r="DM227" s="15"/>
    </row>
    <row r="228" spans="13:117" ht="12.75" customHeight="1" x14ac:dyDescent="0.25"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3:117" ht="12.75" customHeight="1" x14ac:dyDescent="0.25"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</sheetData>
  <sortState xmlns:xlrd2="http://schemas.microsoft.com/office/spreadsheetml/2017/richdata2" ref="AV80:AW82">
    <sortCondition ref="AW80:AW82"/>
  </sortState>
  <mergeCells count="342">
    <mergeCell ref="BC47:BD47"/>
    <mergeCell ref="BF46:BG46"/>
    <mergeCell ref="BF47:BG47"/>
    <mergeCell ref="BF48:BG48"/>
    <mergeCell ref="BF49:BG49"/>
    <mergeCell ref="DQ42:DQ44"/>
    <mergeCell ref="DR42:DR44"/>
    <mergeCell ref="DS42:DS44"/>
    <mergeCell ref="DN42:DN44"/>
    <mergeCell ref="DO42:DO44"/>
    <mergeCell ref="DP42:DP44"/>
    <mergeCell ref="DT42:DU42"/>
    <mergeCell ref="DT43:DT44"/>
    <mergeCell ref="DU43:DU44"/>
    <mergeCell ref="DO53:DO57"/>
    <mergeCell ref="DO48:DO52"/>
    <mergeCell ref="DO45:DO47"/>
    <mergeCell ref="DN45:DN57"/>
    <mergeCell ref="CV13:CW15"/>
    <mergeCell ref="CY13:DA15"/>
    <mergeCell ref="CY16:CZ16"/>
    <mergeCell ref="CY17:CZ17"/>
    <mergeCell ref="CY18:CZ18"/>
    <mergeCell ref="CY19:CZ19"/>
    <mergeCell ref="CY20:CZ20"/>
    <mergeCell ref="DE42:DE45"/>
    <mergeCell ref="DE46:DE48"/>
    <mergeCell ref="DE49:DE52"/>
    <mergeCell ref="DE38:DE41"/>
    <mergeCell ref="DN6:DN17"/>
    <mergeCell ref="DO6:DO9"/>
    <mergeCell ref="DO10:DO13"/>
    <mergeCell ref="DO14:DO17"/>
    <mergeCell ref="DN24:DN38"/>
    <mergeCell ref="DO24:DO28"/>
    <mergeCell ref="DO29:DO33"/>
    <mergeCell ref="DO34:DO38"/>
    <mergeCell ref="DN21:DN23"/>
    <mergeCell ref="CL33:CQ33"/>
    <mergeCell ref="CL34:CP34"/>
    <mergeCell ref="CL35:CQ35"/>
    <mergeCell ref="CA34:CF34"/>
    <mergeCell ref="CC35:CC37"/>
    <mergeCell ref="CD35:CD37"/>
    <mergeCell ref="CE35:CF35"/>
    <mergeCell ref="CE36:CE37"/>
    <mergeCell ref="CL36:CL38"/>
    <mergeCell ref="CM36:CM38"/>
    <mergeCell ref="CN36:CN38"/>
    <mergeCell ref="CO36:CO38"/>
    <mergeCell ref="CP36:CQ36"/>
    <mergeCell ref="CP37:CP38"/>
    <mergeCell ref="CQ37:CQ38"/>
    <mergeCell ref="CA35:CA37"/>
    <mergeCell ref="CB35:CB37"/>
    <mergeCell ref="BI3:BI5"/>
    <mergeCell ref="BJ3:BJ5"/>
    <mergeCell ref="BK3:BK5"/>
    <mergeCell ref="BL3:BM3"/>
    <mergeCell ref="BL4:BL5"/>
    <mergeCell ref="BM4:BM5"/>
    <mergeCell ref="Y44:AH44"/>
    <mergeCell ref="Y45:AH45"/>
    <mergeCell ref="AI37:AO37"/>
    <mergeCell ref="Y30:AH30"/>
    <mergeCell ref="Y31:AH31"/>
    <mergeCell ref="Y32:AH32"/>
    <mergeCell ref="Y33:AH33"/>
    <mergeCell ref="Y34:AH34"/>
    <mergeCell ref="Y35:AH35"/>
    <mergeCell ref="Y37:AH37"/>
    <mergeCell ref="Y39:AH39"/>
    <mergeCell ref="AI35:AO35"/>
    <mergeCell ref="AI36:AO36"/>
    <mergeCell ref="Y40:AH40"/>
    <mergeCell ref="Y41:AH41"/>
    <mergeCell ref="Y43:AH43"/>
    <mergeCell ref="AI26:AO26"/>
    <mergeCell ref="Y11:AH11"/>
    <mergeCell ref="CL4:CL6"/>
    <mergeCell ref="CM4:CM6"/>
    <mergeCell ref="CN4:CN6"/>
    <mergeCell ref="CO4:CO6"/>
    <mergeCell ref="CP4:CQ4"/>
    <mergeCell ref="BQ2:BV2"/>
    <mergeCell ref="BS3:BS5"/>
    <mergeCell ref="BR3:BR5"/>
    <mergeCell ref="BU4:BU5"/>
    <mergeCell ref="BV4:BV5"/>
    <mergeCell ref="BQ3:BQ5"/>
    <mergeCell ref="CA4:CA6"/>
    <mergeCell ref="CA3:CF3"/>
    <mergeCell ref="DE1:DK1"/>
    <mergeCell ref="DN1:DU1"/>
    <mergeCell ref="DN2:DU2"/>
    <mergeCell ref="DN3:DN5"/>
    <mergeCell ref="DO3:DO5"/>
    <mergeCell ref="DP3:DP5"/>
    <mergeCell ref="DQ3:DQ5"/>
    <mergeCell ref="BH3:BH5"/>
    <mergeCell ref="BH1:BM1"/>
    <mergeCell ref="BH2:BM2"/>
    <mergeCell ref="BQ1:BV1"/>
    <mergeCell ref="BT3:BT5"/>
    <mergeCell ref="CY4:CY6"/>
    <mergeCell ref="CV4:CV6"/>
    <mergeCell ref="CW4:CW6"/>
    <mergeCell ref="BU3:BV3"/>
    <mergeCell ref="CA1:CF1"/>
    <mergeCell ref="CB4:CB6"/>
    <mergeCell ref="CC4:CC6"/>
    <mergeCell ref="CD4:CD6"/>
    <mergeCell ref="CE4:CF4"/>
    <mergeCell ref="CE5:CE6"/>
    <mergeCell ref="CF5:CF6"/>
    <mergeCell ref="CA2:CF2"/>
    <mergeCell ref="AI33:AO33"/>
    <mergeCell ref="AI34:AO34"/>
    <mergeCell ref="Y12:AH12"/>
    <mergeCell ref="AI27:AO27"/>
    <mergeCell ref="AI13:AO13"/>
    <mergeCell ref="CZ4:DA4"/>
    <mergeCell ref="CZ5:CZ6"/>
    <mergeCell ref="DA5:DA6"/>
    <mergeCell ref="CV1:DA1"/>
    <mergeCell ref="CV2:DA2"/>
    <mergeCell ref="CV3:DA3"/>
    <mergeCell ref="CX4:CX6"/>
    <mergeCell ref="AP4:AX4"/>
    <mergeCell ref="AY1:BD1"/>
    <mergeCell ref="AY2:BD3"/>
    <mergeCell ref="AP5:AX5"/>
    <mergeCell ref="AP6:AX6"/>
    <mergeCell ref="AP7:AX7"/>
    <mergeCell ref="AP8:AX8"/>
    <mergeCell ref="CP5:CP6"/>
    <mergeCell ref="CQ5:CQ6"/>
    <mergeCell ref="CL1:CQ1"/>
    <mergeCell ref="CL2:CQ2"/>
    <mergeCell ref="CL3:CQ3"/>
    <mergeCell ref="Y1:AH1"/>
    <mergeCell ref="Y2:AH2"/>
    <mergeCell ref="Y3:AH3"/>
    <mergeCell ref="Y4:AH4"/>
    <mergeCell ref="Y5:AH5"/>
    <mergeCell ref="Y6:AH6"/>
    <mergeCell ref="Y7:AH7"/>
    <mergeCell ref="Y8:AH8"/>
    <mergeCell ref="Y9:AH9"/>
    <mergeCell ref="Y10:AH10"/>
    <mergeCell ref="Y19:AH19"/>
    <mergeCell ref="Y21:AH21"/>
    <mergeCell ref="AI7:AO7"/>
    <mergeCell ref="AI8:AO8"/>
    <mergeCell ref="AI30:AO30"/>
    <mergeCell ref="AI31:AO31"/>
    <mergeCell ref="AI32:AO32"/>
    <mergeCell ref="AI9:AO9"/>
    <mergeCell ref="AI29:AO29"/>
    <mergeCell ref="AI10:AO10"/>
    <mergeCell ref="AI11:AO11"/>
    <mergeCell ref="AI12:AO12"/>
    <mergeCell ref="AI18:AO18"/>
    <mergeCell ref="AI19:AO19"/>
    <mergeCell ref="AI20:AO20"/>
    <mergeCell ref="AI21:AO21"/>
    <mergeCell ref="AI23:AO23"/>
    <mergeCell ref="AI24:AO24"/>
    <mergeCell ref="AI25:AO25"/>
    <mergeCell ref="AI14:AO14"/>
    <mergeCell ref="AI15:AO15"/>
    <mergeCell ref="Y58:AH58"/>
    <mergeCell ref="Y57:AH57"/>
    <mergeCell ref="Y56:AH56"/>
    <mergeCell ref="Y55:AH55"/>
    <mergeCell ref="Y13:AH13"/>
    <mergeCell ref="Y14:AH14"/>
    <mergeCell ref="Y15:AH15"/>
    <mergeCell ref="Y16:AH16"/>
    <mergeCell ref="Y17:AH17"/>
    <mergeCell ref="Y18:AH18"/>
    <mergeCell ref="Y36:AH36"/>
    <mergeCell ref="Y28:AH28"/>
    <mergeCell ref="Y22:AH22"/>
    <mergeCell ref="Y23:AH23"/>
    <mergeCell ref="Y24:AH24"/>
    <mergeCell ref="Y25:AH25"/>
    <mergeCell ref="Y26:AH26"/>
    <mergeCell ref="Y29:AH29"/>
    <mergeCell ref="Y46:AH46"/>
    <mergeCell ref="Y47:AH47"/>
    <mergeCell ref="Y48:AH48"/>
    <mergeCell ref="Y49:AH49"/>
    <mergeCell ref="Y50:AH50"/>
    <mergeCell ref="Y51:AH51"/>
    <mergeCell ref="Y52:AH52"/>
    <mergeCell ref="Y53:AH53"/>
    <mergeCell ref="Y54:AH54"/>
    <mergeCell ref="DN40:DU40"/>
    <mergeCell ref="DN41:DU41"/>
    <mergeCell ref="DE2:DK2"/>
    <mergeCell ref="DE3:DE5"/>
    <mergeCell ref="DF3:DF5"/>
    <mergeCell ref="DG3:DG5"/>
    <mergeCell ref="DH3:DH5"/>
    <mergeCell ref="DI3:DJ3"/>
    <mergeCell ref="DI4:DI5"/>
    <mergeCell ref="DJ4:DJ5"/>
    <mergeCell ref="DK3:DK5"/>
    <mergeCell ref="DE6:DE9"/>
    <mergeCell ref="DE10:DE13"/>
    <mergeCell ref="DE14:DE17"/>
    <mergeCell ref="DE18:DE21"/>
    <mergeCell ref="DE23:DE26"/>
    <mergeCell ref="DE27:DE29"/>
    <mergeCell ref="DE30:DE31"/>
    <mergeCell ref="DE32:DE34"/>
    <mergeCell ref="DE35:DE37"/>
    <mergeCell ref="DP21:DP23"/>
    <mergeCell ref="BU32:BU33"/>
    <mergeCell ref="BV32:BV33"/>
    <mergeCell ref="BR31:BR33"/>
    <mergeCell ref="BS31:BS33"/>
    <mergeCell ref="BT31:BT33"/>
    <mergeCell ref="CF36:CF37"/>
    <mergeCell ref="CA33:CF33"/>
    <mergeCell ref="BH24:BM24"/>
    <mergeCell ref="BH27:BH29"/>
    <mergeCell ref="BI27:BI29"/>
    <mergeCell ref="BL27:BM27"/>
    <mergeCell ref="BU31:BV31"/>
    <mergeCell ref="BH25:BM25"/>
    <mergeCell ref="BH26:BM26"/>
    <mergeCell ref="BQ29:BV29"/>
    <mergeCell ref="BQ30:BV30"/>
    <mergeCell ref="BM28:BM29"/>
    <mergeCell ref="BQ31:BQ33"/>
    <mergeCell ref="BJ27:BJ29"/>
    <mergeCell ref="BK27:BK29"/>
    <mergeCell ref="BL28:BL29"/>
    <mergeCell ref="EB16:EB18"/>
    <mergeCell ref="EC16:ED16"/>
    <mergeCell ref="EC17:EC18"/>
    <mergeCell ref="ED17:ED18"/>
    <mergeCell ref="DR21:DR23"/>
    <mergeCell ref="DQ21:DQ23"/>
    <mergeCell ref="DN19:DV19"/>
    <mergeCell ref="DN20:DV20"/>
    <mergeCell ref="DY2:ED2"/>
    <mergeCell ref="DR3:DR5"/>
    <mergeCell ref="DS3:DS5"/>
    <mergeCell ref="DT3:DU3"/>
    <mergeCell ref="DT4:DT5"/>
    <mergeCell ref="DU4:DU5"/>
    <mergeCell ref="DY15:ED15"/>
    <mergeCell ref="DY16:DY18"/>
    <mergeCell ref="DZ16:DZ18"/>
    <mergeCell ref="EA16:EA18"/>
    <mergeCell ref="DO21:DO23"/>
    <mergeCell ref="DS21:DS23"/>
    <mergeCell ref="DT21:DV21"/>
    <mergeCell ref="DV22:DV23"/>
    <mergeCell ref="DT22:DT23"/>
    <mergeCell ref="DU22:DU23"/>
    <mergeCell ref="DY1:ED1"/>
    <mergeCell ref="DY3:DY5"/>
    <mergeCell ref="DZ3:DZ5"/>
    <mergeCell ref="EA3:EA5"/>
    <mergeCell ref="EB3:EB5"/>
    <mergeCell ref="EC3:ED3"/>
    <mergeCell ref="EC4:EC5"/>
    <mergeCell ref="ED4:ED5"/>
    <mergeCell ref="DY14:ED14"/>
    <mergeCell ref="AP57:AX57"/>
    <mergeCell ref="AP24:AP28"/>
    <mergeCell ref="AQ24:AR27"/>
    <mergeCell ref="AS24:AS27"/>
    <mergeCell ref="AT24:AU27"/>
    <mergeCell ref="AV24:AV27"/>
    <mergeCell ref="AP35:AP40"/>
    <mergeCell ref="AQ35:AR39"/>
    <mergeCell ref="AS35:AS39"/>
    <mergeCell ref="AT35:AT39"/>
    <mergeCell ref="AU35:AU40"/>
    <mergeCell ref="AV35:AV39"/>
    <mergeCell ref="AW35:AW40"/>
    <mergeCell ref="AP34:AW34"/>
    <mergeCell ref="AP23:AV23"/>
    <mergeCell ref="AY4:AY8"/>
    <mergeCell ref="AZ4:AZ8"/>
    <mergeCell ref="BA4:BA8"/>
    <mergeCell ref="BB4:BB8"/>
    <mergeCell ref="BC4:BD6"/>
    <mergeCell ref="BC7:BC8"/>
    <mergeCell ref="BD7:BD8"/>
    <mergeCell ref="AY24:BD24"/>
    <mergeCell ref="BB19:BB22"/>
    <mergeCell ref="AZ19:AZ22"/>
    <mergeCell ref="BA19:BA22"/>
    <mergeCell ref="BC19:BC22"/>
    <mergeCell ref="BD19:BD22"/>
    <mergeCell ref="BC15:BC17"/>
    <mergeCell ref="BD15:BD17"/>
    <mergeCell ref="BC10:BC12"/>
    <mergeCell ref="BD10:BD12"/>
    <mergeCell ref="BA42:BA45"/>
    <mergeCell ref="BC42:BC45"/>
    <mergeCell ref="BD42:BD45"/>
    <mergeCell ref="BD38:BD40"/>
    <mergeCell ref="AY25:BD26"/>
    <mergeCell ref="AY9:AY12"/>
    <mergeCell ref="AY14:AY22"/>
    <mergeCell ref="AZ10:AZ12"/>
    <mergeCell ref="BA10:BA12"/>
    <mergeCell ref="BB10:BB12"/>
    <mergeCell ref="AZ15:AZ17"/>
    <mergeCell ref="BA15:BA17"/>
    <mergeCell ref="BB15:BB17"/>
    <mergeCell ref="AI51:AO51"/>
    <mergeCell ref="AI52:AO52"/>
    <mergeCell ref="AI53:AO53"/>
    <mergeCell ref="AI54:AO54"/>
    <mergeCell ref="AY27:AY31"/>
    <mergeCell ref="AZ27:AZ31"/>
    <mergeCell ref="BA27:BA31"/>
    <mergeCell ref="BB27:BB31"/>
    <mergeCell ref="BC27:BD29"/>
    <mergeCell ref="BC30:BC31"/>
    <mergeCell ref="BD30:BD31"/>
    <mergeCell ref="AY32:AY35"/>
    <mergeCell ref="AY37:AY45"/>
    <mergeCell ref="AZ33:AZ35"/>
    <mergeCell ref="BA33:BA35"/>
    <mergeCell ref="AZ38:AZ40"/>
    <mergeCell ref="BA38:BA40"/>
    <mergeCell ref="BB38:BB40"/>
    <mergeCell ref="BB33:BB35"/>
    <mergeCell ref="BC33:BC35"/>
    <mergeCell ref="BD33:BD35"/>
    <mergeCell ref="BC38:BC40"/>
    <mergeCell ref="BB42:BB45"/>
    <mergeCell ref="AZ42:AZ45"/>
  </mergeCells>
  <phoneticPr fontId="12" type="noConversion"/>
  <hyperlinks>
    <hyperlink ref="F55" r:id="rId1" display="http://www.dorset-cpre.org.uk/" xr:uid="{00000000-0004-0000-0000-000000000000}"/>
    <hyperlink ref="F54" r:id="rId2" xr:uid="{00000000-0004-0000-0000-000001000000}"/>
    <hyperlink ref="AP55" r:id="rId3" xr:uid="{00000000-0004-0000-0000-000002000000}"/>
  </hyperlinks>
  <pageMargins left="0.98425196850393704" right="0" top="0.59055118110236227" bottom="0" header="0" footer="0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Report 22 April 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2024-05-15T16:30:10Z</dcterms:created>
  <dcterms:modified xsi:type="dcterms:W3CDTF">2024-05-15T16:36:35Z</dcterms:modified>
</cp:coreProperties>
</file>